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18 Committee Work\ECS Scenarios\Model\"/>
    </mc:Choice>
  </mc:AlternateContent>
  <bookViews>
    <workbookView xWindow="0" yWindow="0" windowWidth="28800" windowHeight="11775" tabRatio="852"/>
  </bookViews>
  <sheets>
    <sheet name="Front page" sheetId="1" r:id="rId1"/>
    <sheet name="Funding Comparison" sheetId="4" r:id="rId2"/>
    <sheet name="Budget Estimating Tool" sheetId="7" r:id="rId3"/>
    <sheet name="Student Enrollment Data" sheetId="3" r:id="rId4"/>
    <sheet name="Small Dist Weight" sheetId="6" r:id="rId5"/>
    <sheet name="Remote School Building Weight" sheetId="8" r:id="rId6"/>
    <sheet name="Large District Weight" sheetId="9" r:id="rId7"/>
    <sheet name="District Wealth Adjustment" sheetId="10" r:id="rId8"/>
    <sheet name="Teacher Exp" sheetId="12" r:id="rId9"/>
    <sheet name="Calculations" sheetId="5" r:id="rId10"/>
    <sheet name="settings" sheetId="2" r:id="rId11"/>
  </sheets>
  <externalReferences>
    <externalReference r:id="rId12"/>
  </externalReferences>
  <definedNames>
    <definedName name="_xlnm._FilterDatabase" localSheetId="1" hidden="1">'Funding Comparison'!$A$2:$AH$2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7" l="1"/>
  <c r="B30" i="7"/>
  <c r="D29" i="7"/>
  <c r="E29" i="7" s="1"/>
  <c r="D28" i="7"/>
  <c r="E28" i="7" s="1"/>
  <c r="D27" i="7"/>
  <c r="E27" i="7" s="1"/>
  <c r="D26" i="7"/>
  <c r="E26" i="7" s="1"/>
  <c r="D25" i="7"/>
  <c r="E25" i="7" s="1"/>
  <c r="D24" i="7"/>
  <c r="E24" i="7" s="1"/>
  <c r="D23" i="7"/>
  <c r="E23" i="7" s="1"/>
  <c r="D22" i="7"/>
  <c r="E22" i="7" s="1"/>
  <c r="D21" i="7"/>
  <c r="E21" i="7" s="1"/>
  <c r="D20" i="7"/>
  <c r="E20" i="7" s="1"/>
  <c r="D19" i="7"/>
  <c r="E19" i="7" s="1"/>
  <c r="D18" i="7"/>
  <c r="E18" i="7" s="1"/>
  <c r="D17" i="7"/>
  <c r="E17" i="7" s="1"/>
  <c r="D16" i="7"/>
  <c r="E16" i="7" s="1"/>
  <c r="D15" i="7"/>
  <c r="D30" i="7" s="1"/>
  <c r="B10" i="7"/>
  <c r="D10" i="7" s="1"/>
  <c r="E10" i="7" s="1"/>
  <c r="B9" i="7"/>
  <c r="D9" i="7" s="1"/>
  <c r="E9" i="7" s="1"/>
  <c r="B8" i="7"/>
  <c r="D8" i="7" s="1"/>
  <c r="E8" i="7" s="1"/>
  <c r="D7" i="7"/>
  <c r="E7" i="7" s="1"/>
  <c r="B7" i="7"/>
  <c r="B6" i="7"/>
  <c r="B11" i="7" s="1"/>
  <c r="B13" i="7" s="1"/>
  <c r="D3" i="7"/>
  <c r="E3" i="7" s="1"/>
  <c r="D6" i="7" l="1"/>
  <c r="E6" i="7" s="1"/>
  <c r="E15" i="7"/>
  <c r="E30" i="7" s="1"/>
  <c r="F43" i="4"/>
  <c r="D11" i="7" l="1"/>
  <c r="F13" i="2"/>
  <c r="M3" i="12"/>
  <c r="K6" i="12" s="1"/>
  <c r="K5" i="12"/>
  <c r="K7" i="12"/>
  <c r="K9" i="12"/>
  <c r="K11" i="12"/>
  <c r="K13" i="12"/>
  <c r="K15" i="12"/>
  <c r="K17" i="12"/>
  <c r="K19" i="12"/>
  <c r="K21" i="12"/>
  <c r="K23" i="12"/>
  <c r="K25" i="12"/>
  <c r="K27" i="12"/>
  <c r="K29" i="12"/>
  <c r="K31" i="12"/>
  <c r="K33" i="12"/>
  <c r="K35" i="12"/>
  <c r="K37" i="12"/>
  <c r="K39" i="12"/>
  <c r="K41" i="12"/>
  <c r="K43" i="12"/>
  <c r="K45" i="12"/>
  <c r="K47" i="12"/>
  <c r="K49" i="12"/>
  <c r="K51" i="12"/>
  <c r="K53" i="12"/>
  <c r="K55" i="12"/>
  <c r="K57" i="12"/>
  <c r="K59" i="12"/>
  <c r="K61" i="12"/>
  <c r="K63" i="12"/>
  <c r="K65" i="12"/>
  <c r="K67" i="12"/>
  <c r="K69" i="12"/>
  <c r="K71" i="12"/>
  <c r="K73" i="12"/>
  <c r="K75" i="12"/>
  <c r="K77" i="12"/>
  <c r="K79" i="12"/>
  <c r="K81" i="12"/>
  <c r="K83" i="12"/>
  <c r="K85" i="12"/>
  <c r="K87" i="12"/>
  <c r="K89" i="12"/>
  <c r="K91" i="12"/>
  <c r="K93" i="12"/>
  <c r="K95" i="12"/>
  <c r="K97" i="12"/>
  <c r="K99" i="12"/>
  <c r="K101" i="12"/>
  <c r="K103" i="12"/>
  <c r="K105" i="12"/>
  <c r="K107" i="12"/>
  <c r="K109" i="12"/>
  <c r="K111"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3" i="12"/>
  <c r="G4" i="5"/>
  <c r="P4" i="5"/>
  <c r="H4" i="5"/>
  <c r="I4" i="5"/>
  <c r="R4" i="5"/>
  <c r="J4" i="5"/>
  <c r="S4" i="5"/>
  <c r="A4" i="5"/>
  <c r="B4" i="5"/>
  <c r="G5" i="5"/>
  <c r="P5" i="5"/>
  <c r="H5" i="5"/>
  <c r="I5" i="5"/>
  <c r="R5" i="5"/>
  <c r="J5" i="5"/>
  <c r="S5" i="5"/>
  <c r="A5" i="5"/>
  <c r="B5" i="5"/>
  <c r="G6" i="5"/>
  <c r="P6" i="5"/>
  <c r="H6" i="5"/>
  <c r="I6" i="5"/>
  <c r="R6" i="5"/>
  <c r="J6" i="5"/>
  <c r="S6" i="5"/>
  <c r="A6" i="5"/>
  <c r="B6" i="5"/>
  <c r="G7" i="5"/>
  <c r="P7" i="5"/>
  <c r="H7" i="5"/>
  <c r="I7" i="5"/>
  <c r="R7" i="5"/>
  <c r="J7" i="5"/>
  <c r="S7" i="5"/>
  <c r="A7" i="5"/>
  <c r="B7" i="5"/>
  <c r="G8" i="5"/>
  <c r="P8" i="5"/>
  <c r="H8" i="5"/>
  <c r="I8" i="5"/>
  <c r="R8" i="5"/>
  <c r="J8" i="5"/>
  <c r="S8" i="5"/>
  <c r="A8" i="5"/>
  <c r="B8" i="5"/>
  <c r="G9" i="5"/>
  <c r="P9" i="5"/>
  <c r="H9" i="5"/>
  <c r="I9" i="5"/>
  <c r="R9" i="5"/>
  <c r="J9" i="5"/>
  <c r="S9" i="5"/>
  <c r="A9" i="5"/>
  <c r="B9" i="5"/>
  <c r="G10" i="5"/>
  <c r="P10" i="5"/>
  <c r="H10" i="5"/>
  <c r="I10" i="5"/>
  <c r="R10" i="5"/>
  <c r="J10" i="5"/>
  <c r="S10" i="5"/>
  <c r="A10" i="5"/>
  <c r="B10" i="5"/>
  <c r="G11" i="5"/>
  <c r="P11" i="5"/>
  <c r="H11" i="5"/>
  <c r="I11" i="5"/>
  <c r="R11" i="5"/>
  <c r="J11" i="5"/>
  <c r="S11" i="5"/>
  <c r="A11" i="5"/>
  <c r="B11" i="5"/>
  <c r="G12" i="5"/>
  <c r="P12" i="5"/>
  <c r="H12" i="5"/>
  <c r="I12" i="5"/>
  <c r="R12" i="5"/>
  <c r="J12" i="5"/>
  <c r="S12" i="5"/>
  <c r="A12" i="5"/>
  <c r="B12" i="5"/>
  <c r="G13" i="5"/>
  <c r="P13" i="5"/>
  <c r="H13" i="5"/>
  <c r="I13" i="5"/>
  <c r="R13" i="5"/>
  <c r="J13" i="5"/>
  <c r="S13" i="5"/>
  <c r="A13" i="5"/>
  <c r="B13" i="5"/>
  <c r="G14" i="5"/>
  <c r="P14" i="5"/>
  <c r="H14" i="5"/>
  <c r="I14" i="5"/>
  <c r="R14" i="5"/>
  <c r="J14" i="5"/>
  <c r="S14" i="5"/>
  <c r="A14" i="5"/>
  <c r="B14" i="5"/>
  <c r="G15" i="5"/>
  <c r="P15" i="5"/>
  <c r="H15" i="5"/>
  <c r="I15" i="5"/>
  <c r="R15" i="5"/>
  <c r="J15" i="5"/>
  <c r="S15" i="5"/>
  <c r="A15" i="5"/>
  <c r="B15" i="5"/>
  <c r="G16" i="5"/>
  <c r="P16" i="5"/>
  <c r="H16" i="5"/>
  <c r="I16" i="5"/>
  <c r="R16" i="5"/>
  <c r="J16" i="5"/>
  <c r="S16" i="5"/>
  <c r="A16" i="5"/>
  <c r="B16" i="5"/>
  <c r="G17" i="5"/>
  <c r="P17" i="5"/>
  <c r="H17" i="5"/>
  <c r="I17" i="5"/>
  <c r="R17" i="5"/>
  <c r="J17" i="5"/>
  <c r="S17" i="5"/>
  <c r="A17" i="5"/>
  <c r="B17" i="5"/>
  <c r="G18" i="5"/>
  <c r="P18" i="5"/>
  <c r="H18" i="5"/>
  <c r="I18" i="5"/>
  <c r="R18" i="5"/>
  <c r="J18" i="5"/>
  <c r="S18" i="5"/>
  <c r="A18" i="5"/>
  <c r="B18" i="5"/>
  <c r="G19" i="5"/>
  <c r="P19" i="5"/>
  <c r="H19" i="5"/>
  <c r="I19" i="5"/>
  <c r="R19" i="5"/>
  <c r="J19" i="5"/>
  <c r="S19" i="5"/>
  <c r="A19" i="5"/>
  <c r="B19" i="5"/>
  <c r="G20" i="5"/>
  <c r="P20" i="5"/>
  <c r="H20" i="5"/>
  <c r="I20" i="5"/>
  <c r="R20" i="5"/>
  <c r="J20" i="5"/>
  <c r="S20" i="5"/>
  <c r="A20" i="5"/>
  <c r="B20" i="5"/>
  <c r="G21" i="5"/>
  <c r="P21" i="5"/>
  <c r="H21" i="5"/>
  <c r="I21" i="5"/>
  <c r="R21" i="5"/>
  <c r="J21" i="5"/>
  <c r="S21" i="5"/>
  <c r="A21" i="5"/>
  <c r="B21" i="5"/>
  <c r="G22" i="5"/>
  <c r="P22" i="5"/>
  <c r="H22" i="5"/>
  <c r="I22" i="5"/>
  <c r="R22" i="5"/>
  <c r="J22" i="5"/>
  <c r="S22" i="5"/>
  <c r="A22" i="5"/>
  <c r="B22" i="5"/>
  <c r="G23" i="5"/>
  <c r="P23" i="5"/>
  <c r="H23" i="5"/>
  <c r="I23" i="5"/>
  <c r="R23" i="5"/>
  <c r="J23" i="5"/>
  <c r="S23" i="5"/>
  <c r="A23" i="5"/>
  <c r="B23" i="5"/>
  <c r="G24" i="5"/>
  <c r="P24" i="5"/>
  <c r="H24" i="5"/>
  <c r="I24" i="5"/>
  <c r="R24" i="5"/>
  <c r="J24" i="5"/>
  <c r="S24" i="5"/>
  <c r="A24" i="5"/>
  <c r="B24" i="5"/>
  <c r="G25" i="5"/>
  <c r="P25" i="5"/>
  <c r="H25" i="5"/>
  <c r="I25" i="5"/>
  <c r="R25" i="5"/>
  <c r="J25" i="5"/>
  <c r="S25" i="5"/>
  <c r="A25" i="5"/>
  <c r="B25" i="5"/>
  <c r="G26" i="5"/>
  <c r="P26" i="5"/>
  <c r="H26" i="5"/>
  <c r="I26" i="5"/>
  <c r="R26" i="5"/>
  <c r="J26" i="5"/>
  <c r="S26" i="5"/>
  <c r="A26" i="5"/>
  <c r="B26" i="5"/>
  <c r="G27" i="5"/>
  <c r="P27" i="5"/>
  <c r="H27" i="5"/>
  <c r="I27" i="5"/>
  <c r="R27" i="5"/>
  <c r="J27" i="5"/>
  <c r="S27" i="5"/>
  <c r="A27" i="5"/>
  <c r="B27" i="5"/>
  <c r="G28" i="5"/>
  <c r="P28" i="5"/>
  <c r="H28" i="5"/>
  <c r="I28" i="5"/>
  <c r="R28" i="5"/>
  <c r="J28" i="5"/>
  <c r="S28" i="5"/>
  <c r="A28" i="5"/>
  <c r="B28" i="5"/>
  <c r="G29" i="5"/>
  <c r="P29" i="5"/>
  <c r="H29" i="5"/>
  <c r="I29" i="5"/>
  <c r="R29" i="5"/>
  <c r="J29" i="5"/>
  <c r="S29" i="5"/>
  <c r="A29" i="5"/>
  <c r="B29" i="5"/>
  <c r="G30" i="5"/>
  <c r="P30" i="5"/>
  <c r="H30" i="5"/>
  <c r="I30" i="5"/>
  <c r="R30" i="5"/>
  <c r="J30" i="5"/>
  <c r="S30" i="5"/>
  <c r="A30" i="5"/>
  <c r="B30" i="5"/>
  <c r="G31" i="5"/>
  <c r="P31" i="5"/>
  <c r="H31" i="5"/>
  <c r="I31" i="5"/>
  <c r="R31" i="5"/>
  <c r="J31" i="5"/>
  <c r="S31" i="5"/>
  <c r="A31" i="5"/>
  <c r="B31" i="5"/>
  <c r="G32" i="5"/>
  <c r="P32" i="5"/>
  <c r="H32" i="5"/>
  <c r="I32" i="5"/>
  <c r="R32" i="5"/>
  <c r="J32" i="5"/>
  <c r="S32" i="5"/>
  <c r="A32" i="5"/>
  <c r="B32" i="5"/>
  <c r="G33" i="5"/>
  <c r="P33" i="5"/>
  <c r="H33" i="5"/>
  <c r="I33" i="5"/>
  <c r="R33" i="5"/>
  <c r="J33" i="5"/>
  <c r="S33" i="5"/>
  <c r="A33" i="5"/>
  <c r="B33" i="5"/>
  <c r="G34" i="5"/>
  <c r="P34" i="5"/>
  <c r="H34" i="5"/>
  <c r="I34" i="5"/>
  <c r="R34" i="5"/>
  <c r="J34" i="5"/>
  <c r="S34" i="5"/>
  <c r="A34" i="5"/>
  <c r="B34" i="5"/>
  <c r="G35" i="5"/>
  <c r="P35" i="5"/>
  <c r="H35" i="5"/>
  <c r="I35" i="5"/>
  <c r="R35" i="5"/>
  <c r="J35" i="5"/>
  <c r="S35" i="5"/>
  <c r="A35" i="5"/>
  <c r="B35" i="5"/>
  <c r="G36" i="5"/>
  <c r="P36" i="5"/>
  <c r="H36" i="5"/>
  <c r="I36" i="5"/>
  <c r="R36" i="5"/>
  <c r="J36" i="5"/>
  <c r="S36" i="5"/>
  <c r="A36" i="5"/>
  <c r="B36" i="5"/>
  <c r="G37" i="5"/>
  <c r="P37" i="5"/>
  <c r="H37" i="5"/>
  <c r="I37" i="5"/>
  <c r="R37" i="5"/>
  <c r="J37" i="5"/>
  <c r="S37" i="5"/>
  <c r="A37" i="5"/>
  <c r="B37" i="5"/>
  <c r="G38" i="5"/>
  <c r="P38" i="5"/>
  <c r="H38" i="5"/>
  <c r="I38" i="5"/>
  <c r="R38" i="5"/>
  <c r="J38" i="5"/>
  <c r="S38" i="5"/>
  <c r="A38" i="5"/>
  <c r="B38" i="5"/>
  <c r="G39" i="5"/>
  <c r="P39" i="5"/>
  <c r="H39" i="5"/>
  <c r="I39" i="5"/>
  <c r="R39" i="5"/>
  <c r="J39" i="5"/>
  <c r="S39" i="5"/>
  <c r="A39" i="5"/>
  <c r="B39" i="5"/>
  <c r="G40" i="5"/>
  <c r="P40" i="5"/>
  <c r="H40" i="5"/>
  <c r="I40" i="5"/>
  <c r="R40" i="5"/>
  <c r="J40" i="5"/>
  <c r="S40" i="5"/>
  <c r="A40" i="5"/>
  <c r="B40" i="5"/>
  <c r="G41" i="5"/>
  <c r="P41" i="5"/>
  <c r="H41" i="5"/>
  <c r="I41" i="5"/>
  <c r="R41" i="5"/>
  <c r="J41" i="5"/>
  <c r="S41" i="5"/>
  <c r="A41" i="5"/>
  <c r="B41" i="5"/>
  <c r="G42" i="5"/>
  <c r="P42" i="5"/>
  <c r="H42" i="5"/>
  <c r="I42" i="5"/>
  <c r="R42" i="5"/>
  <c r="J42" i="5"/>
  <c r="S42" i="5"/>
  <c r="A42" i="5"/>
  <c r="B42" i="5"/>
  <c r="G43" i="5"/>
  <c r="P43" i="5"/>
  <c r="H43" i="5"/>
  <c r="I43" i="5"/>
  <c r="R43" i="5"/>
  <c r="J43" i="5"/>
  <c r="S43" i="5"/>
  <c r="A43" i="5"/>
  <c r="B43" i="5"/>
  <c r="G44" i="5"/>
  <c r="P44" i="5"/>
  <c r="H44" i="5"/>
  <c r="I44" i="5"/>
  <c r="R44" i="5"/>
  <c r="J44" i="5"/>
  <c r="S44" i="5"/>
  <c r="A44" i="5"/>
  <c r="B44" i="5"/>
  <c r="G45" i="5"/>
  <c r="P45" i="5"/>
  <c r="H45" i="5"/>
  <c r="I45" i="5"/>
  <c r="R45" i="5"/>
  <c r="J45" i="5"/>
  <c r="S45" i="5"/>
  <c r="A45" i="5"/>
  <c r="B45" i="5"/>
  <c r="G46" i="5"/>
  <c r="P46" i="5"/>
  <c r="H46" i="5"/>
  <c r="I46" i="5"/>
  <c r="R46" i="5"/>
  <c r="J46" i="5"/>
  <c r="S46" i="5"/>
  <c r="A46" i="5"/>
  <c r="B46" i="5"/>
  <c r="G47" i="5"/>
  <c r="P47" i="5"/>
  <c r="H47" i="5"/>
  <c r="I47" i="5"/>
  <c r="R47" i="5"/>
  <c r="J47" i="5"/>
  <c r="S47" i="5"/>
  <c r="A47" i="5"/>
  <c r="B47" i="5"/>
  <c r="G48" i="5"/>
  <c r="P48" i="5"/>
  <c r="H48" i="5"/>
  <c r="I48" i="5"/>
  <c r="R48" i="5"/>
  <c r="J48" i="5"/>
  <c r="S48" i="5"/>
  <c r="A48" i="5"/>
  <c r="B48" i="5"/>
  <c r="G49" i="5"/>
  <c r="P49" i="5"/>
  <c r="H49" i="5"/>
  <c r="I49" i="5"/>
  <c r="R49" i="5"/>
  <c r="J49" i="5"/>
  <c r="S49" i="5"/>
  <c r="A49" i="5"/>
  <c r="B49" i="5"/>
  <c r="G50" i="5"/>
  <c r="P50" i="5"/>
  <c r="H50" i="5"/>
  <c r="I50" i="5"/>
  <c r="R50" i="5"/>
  <c r="J50" i="5"/>
  <c r="S50" i="5"/>
  <c r="A50" i="5"/>
  <c r="B50" i="5"/>
  <c r="G51" i="5"/>
  <c r="P51" i="5"/>
  <c r="H51" i="5"/>
  <c r="I51" i="5"/>
  <c r="R51" i="5"/>
  <c r="J51" i="5"/>
  <c r="S51" i="5"/>
  <c r="A51" i="5"/>
  <c r="B51" i="5"/>
  <c r="G52" i="5"/>
  <c r="P52" i="5"/>
  <c r="H52" i="5"/>
  <c r="I52" i="5"/>
  <c r="R52" i="5"/>
  <c r="J52" i="5"/>
  <c r="S52" i="5"/>
  <c r="A52" i="5"/>
  <c r="B52" i="5"/>
  <c r="G53" i="5"/>
  <c r="P53" i="5"/>
  <c r="H53" i="5"/>
  <c r="I53" i="5"/>
  <c r="R53" i="5"/>
  <c r="J53" i="5"/>
  <c r="S53" i="5"/>
  <c r="A53" i="5"/>
  <c r="B53" i="5"/>
  <c r="G54" i="5"/>
  <c r="P54" i="5"/>
  <c r="H54" i="5"/>
  <c r="I54" i="5"/>
  <c r="R54" i="5"/>
  <c r="J54" i="5"/>
  <c r="S54" i="5"/>
  <c r="A54" i="5"/>
  <c r="B54" i="5"/>
  <c r="G55" i="5"/>
  <c r="P55" i="5"/>
  <c r="H55" i="5"/>
  <c r="I55" i="5"/>
  <c r="R55" i="5"/>
  <c r="J55" i="5"/>
  <c r="S55" i="5"/>
  <c r="A55" i="5"/>
  <c r="B55" i="5"/>
  <c r="G56" i="5"/>
  <c r="P56" i="5"/>
  <c r="H56" i="5"/>
  <c r="I56" i="5"/>
  <c r="R56" i="5"/>
  <c r="J56" i="5"/>
  <c r="S56" i="5"/>
  <c r="A56" i="5"/>
  <c r="B56" i="5"/>
  <c r="G57" i="5"/>
  <c r="P57" i="5"/>
  <c r="H57" i="5"/>
  <c r="I57" i="5"/>
  <c r="R57" i="5"/>
  <c r="J57" i="5"/>
  <c r="S57" i="5"/>
  <c r="A57" i="5"/>
  <c r="B57" i="5"/>
  <c r="G58" i="5"/>
  <c r="P58" i="5"/>
  <c r="H58" i="5"/>
  <c r="I58" i="5"/>
  <c r="R58" i="5"/>
  <c r="J58" i="5"/>
  <c r="S58" i="5"/>
  <c r="A58" i="5"/>
  <c r="B58" i="5"/>
  <c r="G59" i="5"/>
  <c r="P59" i="5"/>
  <c r="H59" i="5"/>
  <c r="I59" i="5"/>
  <c r="R59" i="5"/>
  <c r="J59" i="5"/>
  <c r="S59" i="5"/>
  <c r="A59" i="5"/>
  <c r="B59" i="5"/>
  <c r="G60" i="5"/>
  <c r="P60" i="5"/>
  <c r="H60" i="5"/>
  <c r="I60" i="5"/>
  <c r="R60" i="5"/>
  <c r="J60" i="5"/>
  <c r="S60" i="5"/>
  <c r="A60" i="5"/>
  <c r="B60" i="5"/>
  <c r="G61" i="5"/>
  <c r="P61" i="5"/>
  <c r="H61" i="5"/>
  <c r="I61" i="5"/>
  <c r="R61" i="5"/>
  <c r="J61" i="5"/>
  <c r="S61" i="5"/>
  <c r="A61" i="5"/>
  <c r="B61" i="5"/>
  <c r="G62" i="5"/>
  <c r="P62" i="5"/>
  <c r="H62" i="5"/>
  <c r="I62" i="5"/>
  <c r="R62" i="5"/>
  <c r="J62" i="5"/>
  <c r="S62" i="5"/>
  <c r="A62" i="5"/>
  <c r="B62" i="5"/>
  <c r="G63" i="5"/>
  <c r="P63" i="5"/>
  <c r="H63" i="5"/>
  <c r="I63" i="5"/>
  <c r="R63" i="5"/>
  <c r="J63" i="5"/>
  <c r="S63" i="5"/>
  <c r="A63" i="5"/>
  <c r="B63" i="5"/>
  <c r="G64" i="5"/>
  <c r="P64" i="5"/>
  <c r="H64" i="5"/>
  <c r="I64" i="5"/>
  <c r="R64" i="5"/>
  <c r="J64" i="5"/>
  <c r="S64" i="5"/>
  <c r="A64" i="5"/>
  <c r="B64" i="5"/>
  <c r="G65" i="5"/>
  <c r="P65" i="5"/>
  <c r="H65" i="5"/>
  <c r="I65" i="5"/>
  <c r="R65" i="5"/>
  <c r="J65" i="5"/>
  <c r="S65" i="5"/>
  <c r="A65" i="5"/>
  <c r="B65" i="5"/>
  <c r="G66" i="5"/>
  <c r="P66" i="5"/>
  <c r="H66" i="5"/>
  <c r="I66" i="5"/>
  <c r="R66" i="5"/>
  <c r="J66" i="5"/>
  <c r="S66" i="5"/>
  <c r="A66" i="5"/>
  <c r="B66" i="5"/>
  <c r="G67" i="5"/>
  <c r="P67" i="5"/>
  <c r="H67" i="5"/>
  <c r="I67" i="5"/>
  <c r="R67" i="5"/>
  <c r="J67" i="5"/>
  <c r="S67" i="5"/>
  <c r="A67" i="5"/>
  <c r="B67" i="5"/>
  <c r="G68" i="5"/>
  <c r="P68" i="5"/>
  <c r="H68" i="5"/>
  <c r="I68" i="5"/>
  <c r="R68" i="5"/>
  <c r="J68" i="5"/>
  <c r="S68" i="5"/>
  <c r="A68" i="5"/>
  <c r="B68" i="5"/>
  <c r="G69" i="5"/>
  <c r="P69" i="5"/>
  <c r="H69" i="5"/>
  <c r="I69" i="5"/>
  <c r="R69" i="5"/>
  <c r="J69" i="5"/>
  <c r="S69" i="5"/>
  <c r="A69" i="5"/>
  <c r="B69" i="5"/>
  <c r="G70" i="5"/>
  <c r="P70" i="5"/>
  <c r="H70" i="5"/>
  <c r="I70" i="5"/>
  <c r="R70" i="5"/>
  <c r="J70" i="5"/>
  <c r="S70" i="5"/>
  <c r="A70" i="5"/>
  <c r="B70" i="5"/>
  <c r="G71" i="5"/>
  <c r="P71" i="5"/>
  <c r="H71" i="5"/>
  <c r="I71" i="5"/>
  <c r="R71" i="5"/>
  <c r="J71" i="5"/>
  <c r="S71" i="5"/>
  <c r="A71" i="5"/>
  <c r="B71" i="5"/>
  <c r="G72" i="5"/>
  <c r="P72" i="5"/>
  <c r="H72" i="5"/>
  <c r="I72" i="5"/>
  <c r="R72" i="5"/>
  <c r="J72" i="5"/>
  <c r="S72" i="5"/>
  <c r="A72" i="5"/>
  <c r="B72" i="5"/>
  <c r="G73" i="5"/>
  <c r="P73" i="5"/>
  <c r="H73" i="5"/>
  <c r="I73" i="5"/>
  <c r="R73" i="5"/>
  <c r="J73" i="5"/>
  <c r="S73" i="5"/>
  <c r="A73" i="5"/>
  <c r="B73" i="5"/>
  <c r="G74" i="5"/>
  <c r="P74" i="5"/>
  <c r="H74" i="5"/>
  <c r="I74" i="5"/>
  <c r="R74" i="5"/>
  <c r="J74" i="5"/>
  <c r="S74" i="5"/>
  <c r="A74" i="5"/>
  <c r="B74" i="5"/>
  <c r="G75" i="5"/>
  <c r="P75" i="5"/>
  <c r="H75" i="5"/>
  <c r="I75" i="5"/>
  <c r="R75" i="5"/>
  <c r="J75" i="5"/>
  <c r="S75" i="5"/>
  <c r="A75" i="5"/>
  <c r="B75" i="5"/>
  <c r="G76" i="5"/>
  <c r="P76" i="5"/>
  <c r="H76" i="5"/>
  <c r="I76" i="5"/>
  <c r="R76" i="5"/>
  <c r="J76" i="5"/>
  <c r="S76" i="5"/>
  <c r="A76" i="5"/>
  <c r="B76" i="5"/>
  <c r="G77" i="5"/>
  <c r="P77" i="5"/>
  <c r="H77" i="5"/>
  <c r="I77" i="5"/>
  <c r="R77" i="5"/>
  <c r="J77" i="5"/>
  <c r="S77" i="5"/>
  <c r="A77" i="5"/>
  <c r="B77" i="5"/>
  <c r="G78" i="5"/>
  <c r="P78" i="5"/>
  <c r="H78" i="5"/>
  <c r="I78" i="5"/>
  <c r="R78" i="5"/>
  <c r="J78" i="5"/>
  <c r="S78" i="5"/>
  <c r="A78" i="5"/>
  <c r="B78" i="5"/>
  <c r="G79" i="5"/>
  <c r="P79" i="5"/>
  <c r="H79" i="5"/>
  <c r="I79" i="5"/>
  <c r="R79" i="5"/>
  <c r="J79" i="5"/>
  <c r="S79" i="5"/>
  <c r="A79" i="5"/>
  <c r="B79" i="5"/>
  <c r="G80" i="5"/>
  <c r="P80" i="5"/>
  <c r="H80" i="5"/>
  <c r="I80" i="5"/>
  <c r="R80" i="5"/>
  <c r="J80" i="5"/>
  <c r="S80" i="5"/>
  <c r="A80" i="5"/>
  <c r="B80" i="5"/>
  <c r="G81" i="5"/>
  <c r="P81" i="5"/>
  <c r="H81" i="5"/>
  <c r="I81" i="5"/>
  <c r="R81" i="5"/>
  <c r="J81" i="5"/>
  <c r="S81" i="5"/>
  <c r="A81" i="5"/>
  <c r="B81" i="5"/>
  <c r="G82" i="5"/>
  <c r="P82" i="5"/>
  <c r="H82" i="5"/>
  <c r="I82" i="5"/>
  <c r="R82" i="5"/>
  <c r="J82" i="5"/>
  <c r="S82" i="5"/>
  <c r="A82" i="5"/>
  <c r="B82" i="5"/>
  <c r="G83" i="5"/>
  <c r="P83" i="5"/>
  <c r="H83" i="5"/>
  <c r="I83" i="5"/>
  <c r="R83" i="5"/>
  <c r="J83" i="5"/>
  <c r="S83" i="5"/>
  <c r="A83" i="5"/>
  <c r="B83" i="5"/>
  <c r="G84" i="5"/>
  <c r="P84" i="5"/>
  <c r="H84" i="5"/>
  <c r="I84" i="5"/>
  <c r="R84" i="5"/>
  <c r="J84" i="5"/>
  <c r="S84" i="5"/>
  <c r="A84" i="5"/>
  <c r="B84" i="5"/>
  <c r="G85" i="5"/>
  <c r="P85" i="5"/>
  <c r="H85" i="5"/>
  <c r="I85" i="5"/>
  <c r="R85" i="5"/>
  <c r="J85" i="5"/>
  <c r="S85" i="5"/>
  <c r="A85" i="5"/>
  <c r="B85" i="5"/>
  <c r="G86" i="5"/>
  <c r="P86" i="5"/>
  <c r="H86" i="5"/>
  <c r="I86" i="5"/>
  <c r="R86" i="5"/>
  <c r="J86" i="5"/>
  <c r="S86" i="5"/>
  <c r="A86" i="5"/>
  <c r="B86" i="5"/>
  <c r="G87" i="5"/>
  <c r="P87" i="5"/>
  <c r="H87" i="5"/>
  <c r="I87" i="5"/>
  <c r="R87" i="5"/>
  <c r="J87" i="5"/>
  <c r="S87" i="5"/>
  <c r="A87" i="5"/>
  <c r="B87" i="5"/>
  <c r="G88" i="5"/>
  <c r="P88" i="5"/>
  <c r="H88" i="5"/>
  <c r="I88" i="5"/>
  <c r="R88" i="5"/>
  <c r="J88" i="5"/>
  <c r="S88" i="5"/>
  <c r="A88" i="5"/>
  <c r="B88" i="5"/>
  <c r="G89" i="5"/>
  <c r="P89" i="5"/>
  <c r="H89" i="5"/>
  <c r="I89" i="5"/>
  <c r="R89" i="5"/>
  <c r="J89" i="5"/>
  <c r="S89" i="5"/>
  <c r="A89" i="5"/>
  <c r="B89" i="5"/>
  <c r="G90" i="5"/>
  <c r="P90" i="5"/>
  <c r="H90" i="5"/>
  <c r="I90" i="5"/>
  <c r="R90" i="5"/>
  <c r="J90" i="5"/>
  <c r="S90" i="5"/>
  <c r="A90" i="5"/>
  <c r="B90" i="5"/>
  <c r="G91" i="5"/>
  <c r="P91" i="5"/>
  <c r="H91" i="5"/>
  <c r="I91" i="5"/>
  <c r="R91" i="5"/>
  <c r="J91" i="5"/>
  <c r="S91" i="5"/>
  <c r="A91" i="5"/>
  <c r="B91" i="5"/>
  <c r="G92" i="5"/>
  <c r="P92" i="5"/>
  <c r="H92" i="5"/>
  <c r="I92" i="5"/>
  <c r="R92" i="5"/>
  <c r="J92" i="5"/>
  <c r="S92" i="5"/>
  <c r="A92" i="5"/>
  <c r="B92" i="5"/>
  <c r="G93" i="5"/>
  <c r="P93" i="5"/>
  <c r="H93" i="5"/>
  <c r="I93" i="5"/>
  <c r="R93" i="5"/>
  <c r="J93" i="5"/>
  <c r="S93" i="5"/>
  <c r="A93" i="5"/>
  <c r="B93" i="5"/>
  <c r="G94" i="5"/>
  <c r="P94" i="5"/>
  <c r="H94" i="5"/>
  <c r="I94" i="5"/>
  <c r="R94" i="5"/>
  <c r="J94" i="5"/>
  <c r="S94" i="5"/>
  <c r="A94" i="5"/>
  <c r="B94" i="5"/>
  <c r="G95" i="5"/>
  <c r="P95" i="5"/>
  <c r="H95" i="5"/>
  <c r="I95" i="5"/>
  <c r="R95" i="5"/>
  <c r="J95" i="5"/>
  <c r="S95" i="5"/>
  <c r="A95" i="5"/>
  <c r="B95" i="5"/>
  <c r="G96" i="5"/>
  <c r="P96" i="5"/>
  <c r="H96" i="5"/>
  <c r="I96" i="5"/>
  <c r="R96" i="5"/>
  <c r="J96" i="5"/>
  <c r="S96" i="5"/>
  <c r="A96" i="5"/>
  <c r="B96" i="5"/>
  <c r="G97" i="5"/>
  <c r="P97" i="5"/>
  <c r="H97" i="5"/>
  <c r="I97" i="5"/>
  <c r="R97" i="5"/>
  <c r="J97" i="5"/>
  <c r="S97" i="5"/>
  <c r="A97" i="5"/>
  <c r="B97" i="5"/>
  <c r="G98" i="5"/>
  <c r="P98" i="5"/>
  <c r="H98" i="5"/>
  <c r="I98" i="5"/>
  <c r="R98" i="5"/>
  <c r="J98" i="5"/>
  <c r="S98" i="5"/>
  <c r="A98" i="5"/>
  <c r="B98" i="5"/>
  <c r="G99" i="5"/>
  <c r="P99" i="5"/>
  <c r="H99" i="5"/>
  <c r="I99" i="5"/>
  <c r="R99" i="5"/>
  <c r="J99" i="5"/>
  <c r="S99" i="5"/>
  <c r="A99" i="5"/>
  <c r="B99" i="5"/>
  <c r="G100" i="5"/>
  <c r="P100" i="5"/>
  <c r="H100" i="5"/>
  <c r="I100" i="5"/>
  <c r="R100" i="5"/>
  <c r="J100" i="5"/>
  <c r="S100" i="5"/>
  <c r="A100" i="5"/>
  <c r="B100" i="5"/>
  <c r="G101" i="5"/>
  <c r="P101" i="5"/>
  <c r="H101" i="5"/>
  <c r="I101" i="5"/>
  <c r="R101" i="5"/>
  <c r="J101" i="5"/>
  <c r="S101" i="5"/>
  <c r="A101" i="5"/>
  <c r="B101" i="5"/>
  <c r="G102" i="5"/>
  <c r="P102" i="5"/>
  <c r="H102" i="5"/>
  <c r="I102" i="5"/>
  <c r="R102" i="5"/>
  <c r="J102" i="5"/>
  <c r="S102" i="5"/>
  <c r="A102" i="5"/>
  <c r="B102" i="5"/>
  <c r="G103" i="5"/>
  <c r="P103" i="5"/>
  <c r="H103" i="5"/>
  <c r="I103" i="5"/>
  <c r="R103" i="5"/>
  <c r="J103" i="5"/>
  <c r="S103" i="5"/>
  <c r="A103" i="5"/>
  <c r="B103" i="5"/>
  <c r="G104" i="5"/>
  <c r="P104" i="5"/>
  <c r="H104" i="5"/>
  <c r="I104" i="5"/>
  <c r="R104" i="5"/>
  <c r="J104" i="5"/>
  <c r="S104" i="5"/>
  <c r="A104" i="5"/>
  <c r="B104" i="5"/>
  <c r="G105" i="5"/>
  <c r="P105" i="5"/>
  <c r="H105" i="5"/>
  <c r="I105" i="5"/>
  <c r="R105" i="5"/>
  <c r="J105" i="5"/>
  <c r="S105" i="5"/>
  <c r="A105" i="5"/>
  <c r="B105" i="5"/>
  <c r="G106" i="5"/>
  <c r="P106" i="5"/>
  <c r="H106" i="5"/>
  <c r="I106" i="5"/>
  <c r="R106" i="5"/>
  <c r="J106" i="5"/>
  <c r="S106" i="5"/>
  <c r="A106" i="5"/>
  <c r="B106" i="5"/>
  <c r="G107" i="5"/>
  <c r="P107" i="5"/>
  <c r="H107" i="5"/>
  <c r="I107" i="5"/>
  <c r="R107" i="5"/>
  <c r="J107" i="5"/>
  <c r="S107" i="5"/>
  <c r="A107" i="5"/>
  <c r="B107" i="5"/>
  <c r="G108" i="5"/>
  <c r="P108" i="5"/>
  <c r="H108" i="5"/>
  <c r="I108" i="5"/>
  <c r="R108" i="5"/>
  <c r="J108" i="5"/>
  <c r="S108" i="5"/>
  <c r="A108" i="5"/>
  <c r="B108" i="5"/>
  <c r="G109" i="5"/>
  <c r="P109" i="5"/>
  <c r="H109" i="5"/>
  <c r="I109" i="5"/>
  <c r="R109" i="5"/>
  <c r="J109" i="5"/>
  <c r="S109" i="5"/>
  <c r="A109" i="5"/>
  <c r="B109" i="5"/>
  <c r="G110" i="5"/>
  <c r="P110" i="5"/>
  <c r="H110" i="5"/>
  <c r="I110" i="5"/>
  <c r="R110" i="5"/>
  <c r="J110" i="5"/>
  <c r="S110" i="5"/>
  <c r="A110" i="5"/>
  <c r="B110" i="5"/>
  <c r="G111" i="5"/>
  <c r="P111" i="5"/>
  <c r="H111" i="5"/>
  <c r="I111" i="5"/>
  <c r="R111" i="5"/>
  <c r="J111" i="5"/>
  <c r="S111" i="5"/>
  <c r="A111" i="5"/>
  <c r="B111" i="5"/>
  <c r="G112" i="5"/>
  <c r="P112" i="5"/>
  <c r="H112" i="5"/>
  <c r="I112" i="5"/>
  <c r="R112" i="5"/>
  <c r="J112" i="5"/>
  <c r="S112" i="5"/>
  <c r="A112" i="5"/>
  <c r="B112" i="5"/>
  <c r="G113" i="5"/>
  <c r="P113" i="5"/>
  <c r="H113" i="5"/>
  <c r="I113" i="5"/>
  <c r="R113" i="5"/>
  <c r="J113" i="5"/>
  <c r="S113" i="5"/>
  <c r="A113" i="5"/>
  <c r="B113" i="5"/>
  <c r="G114" i="5"/>
  <c r="P114" i="5"/>
  <c r="H114" i="5"/>
  <c r="I114" i="5"/>
  <c r="R114" i="5"/>
  <c r="J114" i="5"/>
  <c r="S114" i="5"/>
  <c r="A114" i="5"/>
  <c r="B114" i="5"/>
  <c r="G115" i="5"/>
  <c r="P115" i="5"/>
  <c r="H115" i="5"/>
  <c r="I115" i="5"/>
  <c r="R115" i="5"/>
  <c r="J115" i="5"/>
  <c r="S115" i="5"/>
  <c r="A115" i="5"/>
  <c r="B115" i="5"/>
  <c r="G116" i="5"/>
  <c r="P116" i="5"/>
  <c r="H116" i="5"/>
  <c r="I116" i="5"/>
  <c r="R116" i="5"/>
  <c r="J116" i="5"/>
  <c r="S116" i="5"/>
  <c r="A116" i="5"/>
  <c r="B116" i="5"/>
  <c r="G117" i="5"/>
  <c r="P117" i="5"/>
  <c r="H117" i="5"/>
  <c r="I117" i="5"/>
  <c r="R117" i="5"/>
  <c r="J117" i="5"/>
  <c r="S117" i="5"/>
  <c r="A117" i="5"/>
  <c r="B117" i="5"/>
  <c r="G118" i="5"/>
  <c r="P118" i="5"/>
  <c r="H118" i="5"/>
  <c r="I118" i="5"/>
  <c r="R118" i="5"/>
  <c r="J118" i="5"/>
  <c r="S118" i="5"/>
  <c r="A118" i="5"/>
  <c r="B118" i="5"/>
  <c r="G119" i="5"/>
  <c r="P119" i="5"/>
  <c r="H119" i="5"/>
  <c r="I119" i="5"/>
  <c r="R119" i="5"/>
  <c r="J119" i="5"/>
  <c r="S119" i="5"/>
  <c r="A119" i="5"/>
  <c r="B119" i="5"/>
  <c r="G120" i="5"/>
  <c r="P120" i="5"/>
  <c r="H120" i="5"/>
  <c r="I120" i="5"/>
  <c r="R120" i="5"/>
  <c r="J120" i="5"/>
  <c r="S120" i="5"/>
  <c r="A120" i="5"/>
  <c r="B120" i="5"/>
  <c r="G121" i="5"/>
  <c r="P121" i="5"/>
  <c r="H121" i="5"/>
  <c r="I121" i="5"/>
  <c r="R121" i="5"/>
  <c r="J121" i="5"/>
  <c r="S121" i="5"/>
  <c r="A121" i="5"/>
  <c r="B121" i="5"/>
  <c r="G122" i="5"/>
  <c r="P122" i="5"/>
  <c r="H122" i="5"/>
  <c r="I122" i="5"/>
  <c r="R122" i="5"/>
  <c r="J122" i="5"/>
  <c r="S122" i="5"/>
  <c r="A122" i="5"/>
  <c r="B122" i="5"/>
  <c r="G123" i="5"/>
  <c r="P123" i="5"/>
  <c r="H123" i="5"/>
  <c r="I123" i="5"/>
  <c r="R123" i="5"/>
  <c r="J123" i="5"/>
  <c r="S123" i="5"/>
  <c r="A123" i="5"/>
  <c r="B123" i="5"/>
  <c r="G124" i="5"/>
  <c r="P124" i="5"/>
  <c r="H124" i="5"/>
  <c r="I124" i="5"/>
  <c r="R124" i="5"/>
  <c r="J124" i="5"/>
  <c r="S124" i="5"/>
  <c r="A124" i="5"/>
  <c r="B124" i="5"/>
  <c r="G125" i="5"/>
  <c r="P125" i="5"/>
  <c r="H125" i="5"/>
  <c r="I125" i="5"/>
  <c r="R125" i="5"/>
  <c r="J125" i="5"/>
  <c r="S125" i="5"/>
  <c r="A125" i="5"/>
  <c r="B125" i="5"/>
  <c r="G126" i="5"/>
  <c r="P126" i="5"/>
  <c r="H126" i="5"/>
  <c r="I126" i="5"/>
  <c r="R126" i="5"/>
  <c r="J126" i="5"/>
  <c r="S126" i="5"/>
  <c r="A126" i="5"/>
  <c r="B126" i="5"/>
  <c r="G127" i="5"/>
  <c r="P127" i="5"/>
  <c r="H127" i="5"/>
  <c r="I127" i="5"/>
  <c r="R127" i="5"/>
  <c r="J127" i="5"/>
  <c r="S127" i="5"/>
  <c r="A127" i="5"/>
  <c r="B127" i="5"/>
  <c r="G128" i="5"/>
  <c r="P128" i="5"/>
  <c r="H128" i="5"/>
  <c r="I128" i="5"/>
  <c r="R128" i="5"/>
  <c r="J128" i="5"/>
  <c r="S128" i="5"/>
  <c r="A128" i="5"/>
  <c r="B128" i="5"/>
  <c r="G129" i="5"/>
  <c r="P129" i="5"/>
  <c r="H129" i="5"/>
  <c r="I129" i="5"/>
  <c r="R129" i="5"/>
  <c r="J129" i="5"/>
  <c r="S129" i="5"/>
  <c r="A129" i="5"/>
  <c r="B129" i="5"/>
  <c r="G130" i="5"/>
  <c r="P130" i="5"/>
  <c r="H130" i="5"/>
  <c r="I130" i="5"/>
  <c r="R130" i="5"/>
  <c r="J130" i="5"/>
  <c r="S130" i="5"/>
  <c r="A130" i="5"/>
  <c r="B130" i="5"/>
  <c r="G131" i="5"/>
  <c r="P131" i="5"/>
  <c r="H131" i="5"/>
  <c r="I131" i="5"/>
  <c r="R131" i="5"/>
  <c r="J131" i="5"/>
  <c r="S131" i="5"/>
  <c r="A131" i="5"/>
  <c r="B131" i="5"/>
  <c r="G132" i="5"/>
  <c r="P132" i="5"/>
  <c r="H132" i="5"/>
  <c r="I132" i="5"/>
  <c r="R132" i="5"/>
  <c r="J132" i="5"/>
  <c r="S132" i="5"/>
  <c r="A132" i="5"/>
  <c r="B132" i="5"/>
  <c r="G133" i="5"/>
  <c r="P133" i="5"/>
  <c r="H133" i="5"/>
  <c r="I133" i="5"/>
  <c r="R133" i="5"/>
  <c r="J133" i="5"/>
  <c r="S133" i="5"/>
  <c r="A133" i="5"/>
  <c r="B133" i="5"/>
  <c r="G134" i="5"/>
  <c r="P134" i="5"/>
  <c r="H134" i="5"/>
  <c r="I134" i="5"/>
  <c r="R134" i="5"/>
  <c r="J134" i="5"/>
  <c r="S134" i="5"/>
  <c r="A134" i="5"/>
  <c r="B134" i="5"/>
  <c r="G135" i="5"/>
  <c r="P135" i="5"/>
  <c r="H135" i="5"/>
  <c r="I135" i="5"/>
  <c r="R135" i="5"/>
  <c r="J135" i="5"/>
  <c r="S135" i="5"/>
  <c r="A135" i="5"/>
  <c r="B135" i="5"/>
  <c r="G136" i="5"/>
  <c r="P136" i="5"/>
  <c r="H136" i="5"/>
  <c r="I136" i="5"/>
  <c r="R136" i="5"/>
  <c r="J136" i="5"/>
  <c r="S136" i="5"/>
  <c r="A136" i="5"/>
  <c r="B136" i="5"/>
  <c r="G137" i="5"/>
  <c r="P137" i="5"/>
  <c r="H137" i="5"/>
  <c r="I137" i="5"/>
  <c r="R137" i="5"/>
  <c r="J137" i="5"/>
  <c r="S137" i="5"/>
  <c r="A137" i="5"/>
  <c r="B137" i="5"/>
  <c r="G138" i="5"/>
  <c r="P138" i="5"/>
  <c r="H138" i="5"/>
  <c r="I138" i="5"/>
  <c r="R138" i="5"/>
  <c r="J138" i="5"/>
  <c r="S138" i="5"/>
  <c r="A138" i="5"/>
  <c r="B138" i="5"/>
  <c r="G139" i="5"/>
  <c r="P139" i="5"/>
  <c r="H139" i="5"/>
  <c r="I139" i="5"/>
  <c r="R139" i="5"/>
  <c r="J139" i="5"/>
  <c r="S139" i="5"/>
  <c r="A139" i="5"/>
  <c r="B139" i="5"/>
  <c r="G140" i="5"/>
  <c r="P140" i="5"/>
  <c r="H140" i="5"/>
  <c r="I140" i="5"/>
  <c r="R140" i="5"/>
  <c r="J140" i="5"/>
  <c r="S140" i="5"/>
  <c r="A140" i="5"/>
  <c r="B140" i="5"/>
  <c r="G141" i="5"/>
  <c r="P141" i="5"/>
  <c r="H141" i="5"/>
  <c r="I141" i="5"/>
  <c r="R141" i="5"/>
  <c r="J141" i="5"/>
  <c r="S141" i="5"/>
  <c r="A141" i="5"/>
  <c r="B141" i="5"/>
  <c r="G142" i="5"/>
  <c r="P142" i="5"/>
  <c r="H142" i="5"/>
  <c r="I142" i="5"/>
  <c r="R142" i="5"/>
  <c r="J142" i="5"/>
  <c r="S142" i="5"/>
  <c r="A142" i="5"/>
  <c r="B142" i="5"/>
  <c r="G143" i="5"/>
  <c r="P143" i="5"/>
  <c r="P177" i="5" s="1"/>
  <c r="H143" i="5"/>
  <c r="I143" i="5"/>
  <c r="R143" i="5"/>
  <c r="J143" i="5"/>
  <c r="S143" i="5"/>
  <c r="A143" i="5"/>
  <c r="B143" i="5"/>
  <c r="G144" i="5"/>
  <c r="P144" i="5"/>
  <c r="H144" i="5"/>
  <c r="I144" i="5"/>
  <c r="R144" i="5"/>
  <c r="J144" i="5"/>
  <c r="S144" i="5"/>
  <c r="A144" i="5"/>
  <c r="B144" i="5"/>
  <c r="G145" i="5"/>
  <c r="P145" i="5"/>
  <c r="H145" i="5"/>
  <c r="I145" i="5"/>
  <c r="R145" i="5"/>
  <c r="J145" i="5"/>
  <c r="S145" i="5"/>
  <c r="A145" i="5"/>
  <c r="B145" i="5"/>
  <c r="G146" i="5"/>
  <c r="P146" i="5"/>
  <c r="H146" i="5"/>
  <c r="I146" i="5"/>
  <c r="R146" i="5"/>
  <c r="J146" i="5"/>
  <c r="S146" i="5"/>
  <c r="A146" i="5"/>
  <c r="B146" i="5"/>
  <c r="G147" i="5"/>
  <c r="P147" i="5"/>
  <c r="H147" i="5"/>
  <c r="I147" i="5"/>
  <c r="R147" i="5"/>
  <c r="J147" i="5"/>
  <c r="S147" i="5"/>
  <c r="A147" i="5"/>
  <c r="B147" i="5"/>
  <c r="G148" i="5"/>
  <c r="P148" i="5"/>
  <c r="H148" i="5"/>
  <c r="I148" i="5"/>
  <c r="R148" i="5"/>
  <c r="J148" i="5"/>
  <c r="S148" i="5"/>
  <c r="A148" i="5"/>
  <c r="B148" i="5"/>
  <c r="G149" i="5"/>
  <c r="P149" i="5"/>
  <c r="H149" i="5"/>
  <c r="I149" i="5"/>
  <c r="R149" i="5"/>
  <c r="J149" i="5"/>
  <c r="S149" i="5"/>
  <c r="A149" i="5"/>
  <c r="B149" i="5"/>
  <c r="G150" i="5"/>
  <c r="P150" i="5"/>
  <c r="H150" i="5"/>
  <c r="I150" i="5"/>
  <c r="R150" i="5"/>
  <c r="J150" i="5"/>
  <c r="S150" i="5"/>
  <c r="A150" i="5"/>
  <c r="B150" i="5"/>
  <c r="G151" i="5"/>
  <c r="P151" i="5"/>
  <c r="H151" i="5"/>
  <c r="I151" i="5"/>
  <c r="R151" i="5"/>
  <c r="J151" i="5"/>
  <c r="S151" i="5"/>
  <c r="A151" i="5"/>
  <c r="B151" i="5"/>
  <c r="G152" i="5"/>
  <c r="P152" i="5"/>
  <c r="H152" i="5"/>
  <c r="I152" i="5"/>
  <c r="R152" i="5"/>
  <c r="J152" i="5"/>
  <c r="S152" i="5"/>
  <c r="A152" i="5"/>
  <c r="B152" i="5"/>
  <c r="G153" i="5"/>
  <c r="P153" i="5"/>
  <c r="H153" i="5"/>
  <c r="I153" i="5"/>
  <c r="R153" i="5"/>
  <c r="J153" i="5"/>
  <c r="S153" i="5"/>
  <c r="A153" i="5"/>
  <c r="B153" i="5"/>
  <c r="G154" i="5"/>
  <c r="P154" i="5"/>
  <c r="H154" i="5"/>
  <c r="I154" i="5"/>
  <c r="R154" i="5"/>
  <c r="J154" i="5"/>
  <c r="S154" i="5"/>
  <c r="A154" i="5"/>
  <c r="B154" i="5"/>
  <c r="G155" i="5"/>
  <c r="P155" i="5"/>
  <c r="H155" i="5"/>
  <c r="I155" i="5"/>
  <c r="R155" i="5"/>
  <c r="J155" i="5"/>
  <c r="S155" i="5"/>
  <c r="A155" i="5"/>
  <c r="B155" i="5"/>
  <c r="G156" i="5"/>
  <c r="P156" i="5"/>
  <c r="H156" i="5"/>
  <c r="I156" i="5"/>
  <c r="R156" i="5"/>
  <c r="J156" i="5"/>
  <c r="S156" i="5"/>
  <c r="A156" i="5"/>
  <c r="B156" i="5"/>
  <c r="G157" i="5"/>
  <c r="P157" i="5"/>
  <c r="H157" i="5"/>
  <c r="I157" i="5"/>
  <c r="R157" i="5"/>
  <c r="J157" i="5"/>
  <c r="S157" i="5"/>
  <c r="A157" i="5"/>
  <c r="B157" i="5"/>
  <c r="G158" i="5"/>
  <c r="P158" i="5"/>
  <c r="H158" i="5"/>
  <c r="I158" i="5"/>
  <c r="R158" i="5"/>
  <c r="J158" i="5"/>
  <c r="S158" i="5"/>
  <c r="A158" i="5"/>
  <c r="B158" i="5"/>
  <c r="G159" i="5"/>
  <c r="P159" i="5"/>
  <c r="H159" i="5"/>
  <c r="I159" i="5"/>
  <c r="R159" i="5"/>
  <c r="J159" i="5"/>
  <c r="S159" i="5"/>
  <c r="A159" i="5"/>
  <c r="B159" i="5"/>
  <c r="G160" i="5"/>
  <c r="P160" i="5"/>
  <c r="H160" i="5"/>
  <c r="I160" i="5"/>
  <c r="R160" i="5"/>
  <c r="J160" i="5"/>
  <c r="S160" i="5"/>
  <c r="A160" i="5"/>
  <c r="B160" i="5"/>
  <c r="G161" i="5"/>
  <c r="P161" i="5"/>
  <c r="H161" i="5"/>
  <c r="I161" i="5"/>
  <c r="R161" i="5"/>
  <c r="J161" i="5"/>
  <c r="S161" i="5"/>
  <c r="B161" i="5"/>
  <c r="G162" i="5"/>
  <c r="P162" i="5"/>
  <c r="H162" i="5"/>
  <c r="I162" i="5"/>
  <c r="R162" i="5"/>
  <c r="J162" i="5"/>
  <c r="S162" i="5"/>
  <c r="B162" i="5"/>
  <c r="G163" i="5"/>
  <c r="P163" i="5"/>
  <c r="H163" i="5"/>
  <c r="I163" i="5"/>
  <c r="R163" i="5"/>
  <c r="J163" i="5"/>
  <c r="S163" i="5"/>
  <c r="B163" i="5"/>
  <c r="G164" i="5"/>
  <c r="P164" i="5"/>
  <c r="H164" i="5"/>
  <c r="I164" i="5"/>
  <c r="R164" i="5"/>
  <c r="J164" i="5"/>
  <c r="S164" i="5"/>
  <c r="B164" i="5"/>
  <c r="G165" i="5"/>
  <c r="P165" i="5"/>
  <c r="H165" i="5"/>
  <c r="I165" i="5"/>
  <c r="R165" i="5"/>
  <c r="J165" i="5"/>
  <c r="S165" i="5"/>
  <c r="B165" i="5"/>
  <c r="F166" i="5"/>
  <c r="O166" i="5" s="1"/>
  <c r="G166" i="5"/>
  <c r="P166" i="5"/>
  <c r="H166" i="5"/>
  <c r="I166" i="5"/>
  <c r="R166" i="5"/>
  <c r="J166" i="5"/>
  <c r="S166" i="5"/>
  <c r="A166" i="5"/>
  <c r="B166" i="5"/>
  <c r="G167" i="5"/>
  <c r="P167" i="5"/>
  <c r="H167" i="5"/>
  <c r="I167" i="5"/>
  <c r="R167" i="5"/>
  <c r="J167" i="5"/>
  <c r="S167" i="5"/>
  <c r="A167" i="5"/>
  <c r="B167" i="5"/>
  <c r="G168" i="5"/>
  <c r="P168" i="5"/>
  <c r="H168" i="5"/>
  <c r="I168" i="5"/>
  <c r="R168" i="5"/>
  <c r="J168" i="5"/>
  <c r="S168" i="5"/>
  <c r="A168" i="5"/>
  <c r="B168" i="5"/>
  <c r="D169" i="5"/>
  <c r="M169" i="5" s="1"/>
  <c r="G169" i="5"/>
  <c r="P169" i="5"/>
  <c r="H169" i="5"/>
  <c r="I169" i="5"/>
  <c r="R169" i="5"/>
  <c r="J169" i="5"/>
  <c r="S169" i="5"/>
  <c r="A169" i="5"/>
  <c r="B169" i="5"/>
  <c r="G170" i="5"/>
  <c r="P170" i="5"/>
  <c r="H170" i="5"/>
  <c r="I170" i="5"/>
  <c r="R170" i="5"/>
  <c r="J170" i="5"/>
  <c r="S170" i="5"/>
  <c r="A170" i="5"/>
  <c r="B170" i="5"/>
  <c r="G171" i="5"/>
  <c r="P171" i="5"/>
  <c r="H171" i="5"/>
  <c r="I171" i="5"/>
  <c r="R171" i="5"/>
  <c r="J171" i="5"/>
  <c r="S171" i="5"/>
  <c r="A171" i="5"/>
  <c r="B171" i="5"/>
  <c r="G172" i="5"/>
  <c r="P172" i="5"/>
  <c r="H172" i="5"/>
  <c r="I172" i="5"/>
  <c r="R172" i="5"/>
  <c r="J172" i="5"/>
  <c r="S172" i="5"/>
  <c r="A172" i="5"/>
  <c r="B172" i="5"/>
  <c r="G173" i="5"/>
  <c r="P173" i="5"/>
  <c r="H173" i="5"/>
  <c r="I173" i="5"/>
  <c r="R173" i="5"/>
  <c r="J173" i="5"/>
  <c r="S173" i="5"/>
  <c r="A173" i="5"/>
  <c r="B173" i="5"/>
  <c r="E174" i="5"/>
  <c r="N174" i="5" s="1"/>
  <c r="G174" i="5"/>
  <c r="P174" i="5"/>
  <c r="H174" i="5"/>
  <c r="I174" i="5"/>
  <c r="R174" i="5"/>
  <c r="J174" i="5"/>
  <c r="S174" i="5"/>
  <c r="A174" i="5"/>
  <c r="B174" i="5"/>
  <c r="G175" i="5"/>
  <c r="P175" i="5"/>
  <c r="H175" i="5"/>
  <c r="I175" i="5"/>
  <c r="R175" i="5"/>
  <c r="J175" i="5"/>
  <c r="S175" i="5"/>
  <c r="A175" i="5"/>
  <c r="B175" i="5"/>
  <c r="G3" i="5"/>
  <c r="P3" i="5"/>
  <c r="H3" i="5"/>
  <c r="I3" i="5"/>
  <c r="R3" i="5"/>
  <c r="J3" i="5"/>
  <c r="S3" i="5"/>
  <c r="A3" i="5"/>
  <c r="B3" i="5"/>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7" i="12"/>
  <c r="C177" i="12"/>
  <c r="D178" i="12"/>
  <c r="G3" i="12"/>
  <c r="J3" i="12"/>
  <c r="G4" i="12"/>
  <c r="J4" i="12"/>
  <c r="G5" i="12"/>
  <c r="J5" i="12"/>
  <c r="G6" i="12"/>
  <c r="J6" i="12"/>
  <c r="G7" i="12"/>
  <c r="J7" i="12"/>
  <c r="G8" i="12"/>
  <c r="J8" i="12"/>
  <c r="G9" i="12"/>
  <c r="J9" i="12"/>
  <c r="G10" i="12"/>
  <c r="J10" i="12"/>
  <c r="G11" i="12"/>
  <c r="J11" i="12"/>
  <c r="G12" i="12"/>
  <c r="J12" i="12"/>
  <c r="G13" i="12"/>
  <c r="J13" i="12"/>
  <c r="G14" i="12"/>
  <c r="J14" i="12"/>
  <c r="G15" i="12"/>
  <c r="J15" i="12"/>
  <c r="G16" i="12"/>
  <c r="J16" i="12"/>
  <c r="G17" i="12"/>
  <c r="J17" i="12"/>
  <c r="G18" i="12"/>
  <c r="J18" i="12"/>
  <c r="G19" i="12"/>
  <c r="J19" i="12"/>
  <c r="G20" i="12"/>
  <c r="J20" i="12"/>
  <c r="G21" i="12"/>
  <c r="J21" i="12"/>
  <c r="G22" i="12"/>
  <c r="J22" i="12"/>
  <c r="G23" i="12"/>
  <c r="J23" i="12"/>
  <c r="G24" i="12"/>
  <c r="J24" i="12"/>
  <c r="G25" i="12"/>
  <c r="J25" i="12"/>
  <c r="G26" i="12"/>
  <c r="J26" i="12"/>
  <c r="G27" i="12"/>
  <c r="J27" i="12"/>
  <c r="G28" i="12"/>
  <c r="J28" i="12"/>
  <c r="G29" i="12"/>
  <c r="J29" i="12"/>
  <c r="G30" i="12"/>
  <c r="J30" i="12"/>
  <c r="G31" i="12"/>
  <c r="J31" i="12"/>
  <c r="G32" i="12"/>
  <c r="J32" i="12"/>
  <c r="G33" i="12"/>
  <c r="J33" i="12"/>
  <c r="G34" i="12"/>
  <c r="J34" i="12"/>
  <c r="G35" i="12"/>
  <c r="J35" i="12"/>
  <c r="G36" i="12"/>
  <c r="J36" i="12"/>
  <c r="G37" i="12"/>
  <c r="J37" i="12"/>
  <c r="G38" i="12"/>
  <c r="J38" i="12"/>
  <c r="G39" i="12"/>
  <c r="J39" i="12"/>
  <c r="G40" i="12"/>
  <c r="J40" i="12"/>
  <c r="G41" i="12"/>
  <c r="J41" i="12"/>
  <c r="G42" i="12"/>
  <c r="J42" i="12"/>
  <c r="G43" i="12"/>
  <c r="J43" i="12"/>
  <c r="G44" i="12"/>
  <c r="J44" i="12"/>
  <c r="G45" i="12"/>
  <c r="J45" i="12"/>
  <c r="G46" i="12"/>
  <c r="J46" i="12"/>
  <c r="G47" i="12"/>
  <c r="J47" i="12"/>
  <c r="G48" i="12"/>
  <c r="J48" i="12"/>
  <c r="G49" i="12"/>
  <c r="J49" i="12"/>
  <c r="G50" i="12"/>
  <c r="J50" i="12"/>
  <c r="G51" i="12"/>
  <c r="J51" i="12"/>
  <c r="G52" i="12"/>
  <c r="J52" i="12"/>
  <c r="G53" i="12"/>
  <c r="J53" i="12"/>
  <c r="G54" i="12"/>
  <c r="J54" i="12"/>
  <c r="G55" i="12"/>
  <c r="J55" i="12"/>
  <c r="G56" i="12"/>
  <c r="J56" i="12"/>
  <c r="G57" i="12"/>
  <c r="J57" i="12"/>
  <c r="G58" i="12"/>
  <c r="J58" i="12"/>
  <c r="G59" i="12"/>
  <c r="J59" i="12"/>
  <c r="G60" i="12"/>
  <c r="J60" i="12"/>
  <c r="G61" i="12"/>
  <c r="J61" i="12"/>
  <c r="G62" i="12"/>
  <c r="J62" i="12"/>
  <c r="G63" i="12"/>
  <c r="J63" i="12"/>
  <c r="G64" i="12"/>
  <c r="J64" i="12"/>
  <c r="G65" i="12"/>
  <c r="J65" i="12"/>
  <c r="G66" i="12"/>
  <c r="J66" i="12"/>
  <c r="G67" i="12"/>
  <c r="J67" i="12"/>
  <c r="G68" i="12"/>
  <c r="J68" i="12"/>
  <c r="G69" i="12"/>
  <c r="J69" i="12"/>
  <c r="G70" i="12"/>
  <c r="J70" i="12"/>
  <c r="G71" i="12"/>
  <c r="J71" i="12"/>
  <c r="G72" i="12"/>
  <c r="J72" i="12"/>
  <c r="G73" i="12"/>
  <c r="J73" i="12"/>
  <c r="G74" i="12"/>
  <c r="J74" i="12"/>
  <c r="G75" i="12"/>
  <c r="J75" i="12"/>
  <c r="G76" i="12"/>
  <c r="J76" i="12"/>
  <c r="G77" i="12"/>
  <c r="J77" i="12"/>
  <c r="G78" i="12"/>
  <c r="J78" i="12"/>
  <c r="G79" i="12"/>
  <c r="J79" i="12"/>
  <c r="G80" i="12"/>
  <c r="J80" i="12"/>
  <c r="G81" i="12"/>
  <c r="J81" i="12"/>
  <c r="G82" i="12"/>
  <c r="J82" i="12"/>
  <c r="G83" i="12"/>
  <c r="J83" i="12"/>
  <c r="G84" i="12"/>
  <c r="J84" i="12"/>
  <c r="G85" i="12"/>
  <c r="J85" i="12"/>
  <c r="G86" i="12"/>
  <c r="J86" i="12"/>
  <c r="G87" i="12"/>
  <c r="J87" i="12"/>
  <c r="G88" i="12"/>
  <c r="J88" i="12"/>
  <c r="G89" i="12"/>
  <c r="J89" i="12"/>
  <c r="G90" i="12"/>
  <c r="J90" i="12"/>
  <c r="G91" i="12"/>
  <c r="J91" i="12"/>
  <c r="G92" i="12"/>
  <c r="J92" i="12"/>
  <c r="G93" i="12"/>
  <c r="J93" i="12"/>
  <c r="G94" i="12"/>
  <c r="J94" i="12"/>
  <c r="G95" i="12"/>
  <c r="J95" i="12"/>
  <c r="G96" i="12"/>
  <c r="J96" i="12"/>
  <c r="G97" i="12"/>
  <c r="J97" i="12"/>
  <c r="G98" i="12"/>
  <c r="J98" i="12"/>
  <c r="G99" i="12"/>
  <c r="J99" i="12"/>
  <c r="G100" i="12"/>
  <c r="J100" i="12"/>
  <c r="G101" i="12"/>
  <c r="J101" i="12"/>
  <c r="G102" i="12"/>
  <c r="J102" i="12"/>
  <c r="G103" i="12"/>
  <c r="J103" i="12"/>
  <c r="G104" i="12"/>
  <c r="J104" i="12"/>
  <c r="G105" i="12"/>
  <c r="J105" i="12"/>
  <c r="G106" i="12"/>
  <c r="J106" i="12"/>
  <c r="G107" i="12"/>
  <c r="J107" i="12"/>
  <c r="G108" i="12"/>
  <c r="J108" i="12"/>
  <c r="G109" i="12"/>
  <c r="J109" i="12"/>
  <c r="G110" i="12"/>
  <c r="J110" i="12"/>
  <c r="G111" i="12"/>
  <c r="J111" i="12"/>
  <c r="G112" i="12"/>
  <c r="J112" i="12"/>
  <c r="G113" i="12"/>
  <c r="J113" i="12"/>
  <c r="G114" i="12"/>
  <c r="J114" i="12"/>
  <c r="G115" i="12"/>
  <c r="J115" i="12"/>
  <c r="G116" i="12"/>
  <c r="J116" i="12"/>
  <c r="G117" i="12"/>
  <c r="J117" i="12"/>
  <c r="G118" i="12"/>
  <c r="J118" i="12"/>
  <c r="G119" i="12"/>
  <c r="J119" i="12"/>
  <c r="G120" i="12"/>
  <c r="J120" i="12"/>
  <c r="G121" i="12"/>
  <c r="J121" i="12"/>
  <c r="G122" i="12"/>
  <c r="J122" i="12"/>
  <c r="G123" i="12"/>
  <c r="J123" i="12"/>
  <c r="G124" i="12"/>
  <c r="J124" i="12"/>
  <c r="G125" i="12"/>
  <c r="J125" i="12"/>
  <c r="G126" i="12"/>
  <c r="J126" i="12"/>
  <c r="G127" i="12"/>
  <c r="J127" i="12"/>
  <c r="G128" i="12"/>
  <c r="J128" i="12"/>
  <c r="G129" i="12"/>
  <c r="J129" i="12"/>
  <c r="G130" i="12"/>
  <c r="J130" i="12"/>
  <c r="G131" i="12"/>
  <c r="J131" i="12"/>
  <c r="G132" i="12"/>
  <c r="J132" i="12"/>
  <c r="G133" i="12"/>
  <c r="J133" i="12"/>
  <c r="G134" i="12"/>
  <c r="J134" i="12"/>
  <c r="G135" i="12"/>
  <c r="J135" i="12"/>
  <c r="G136" i="12"/>
  <c r="J136" i="12"/>
  <c r="G137" i="12"/>
  <c r="J137" i="12"/>
  <c r="G138" i="12"/>
  <c r="J138" i="12"/>
  <c r="G139" i="12"/>
  <c r="J139" i="12"/>
  <c r="G140" i="12"/>
  <c r="J140" i="12"/>
  <c r="G141" i="12"/>
  <c r="J141" i="12"/>
  <c r="G142" i="12"/>
  <c r="J142" i="12"/>
  <c r="G143" i="12"/>
  <c r="J143" i="12"/>
  <c r="G144" i="12"/>
  <c r="J144" i="12"/>
  <c r="G145" i="12"/>
  <c r="J145" i="12"/>
  <c r="G146" i="12"/>
  <c r="J146" i="12"/>
  <c r="G147" i="12"/>
  <c r="J147" i="12"/>
  <c r="G148" i="12"/>
  <c r="J148" i="12"/>
  <c r="G149" i="12"/>
  <c r="J149" i="12"/>
  <c r="G150" i="12"/>
  <c r="J150" i="12"/>
  <c r="G151" i="12"/>
  <c r="J151" i="12"/>
  <c r="G152" i="12"/>
  <c r="J152" i="12"/>
  <c r="G153" i="12"/>
  <c r="J153" i="12"/>
  <c r="G154" i="12"/>
  <c r="J154" i="12"/>
  <c r="G155" i="12"/>
  <c r="J155" i="12"/>
  <c r="G156" i="12"/>
  <c r="J156" i="12"/>
  <c r="G157" i="12"/>
  <c r="J157" i="12"/>
  <c r="G158" i="12"/>
  <c r="J158" i="12"/>
  <c r="G159" i="12"/>
  <c r="J159" i="12"/>
  <c r="G160" i="12"/>
  <c r="J160" i="12"/>
  <c r="G161" i="12"/>
  <c r="J161" i="12"/>
  <c r="G162" i="12"/>
  <c r="J162" i="12"/>
  <c r="G163" i="12"/>
  <c r="J163" i="12"/>
  <c r="G164" i="12"/>
  <c r="J164" i="12"/>
  <c r="G165" i="12"/>
  <c r="J165" i="12"/>
  <c r="G166" i="12"/>
  <c r="J166" i="12"/>
  <c r="G167" i="12"/>
  <c r="J167" i="12"/>
  <c r="G168" i="12"/>
  <c r="J168" i="12"/>
  <c r="G169" i="12"/>
  <c r="J169" i="12"/>
  <c r="G170" i="12"/>
  <c r="J170" i="12"/>
  <c r="G171" i="12"/>
  <c r="J171" i="12"/>
  <c r="G172" i="12"/>
  <c r="J172" i="12"/>
  <c r="G173" i="12"/>
  <c r="J173" i="12"/>
  <c r="G174" i="12"/>
  <c r="J174" i="12"/>
  <c r="G175" i="12"/>
  <c r="J175"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BS163" i="3"/>
  <c r="BS164" i="3"/>
  <c r="BS165" i="3"/>
  <c r="BS166" i="3"/>
  <c r="BS162" i="3"/>
  <c r="BQ162" i="3"/>
  <c r="BR162" i="3"/>
  <c r="BQ163" i="3"/>
  <c r="BQ164" i="3"/>
  <c r="BQ165" i="3"/>
  <c r="BQ166" i="3"/>
  <c r="BQ178" i="3"/>
  <c r="BR163" i="3"/>
  <c r="BR164" i="3"/>
  <c r="BR165" i="3"/>
  <c r="BR166" i="3"/>
  <c r="BR178" i="3"/>
  <c r="BR179" i="3"/>
  <c r="BK163" i="3"/>
  <c r="BK164" i="3"/>
  <c r="BK165" i="3"/>
  <c r="BK166" i="3"/>
  <c r="BK162" i="3"/>
  <c r="BK167" i="3"/>
  <c r="BJ167" i="3"/>
  <c r="BI167" i="3"/>
  <c r="BJ162" i="3"/>
  <c r="BJ163" i="3"/>
  <c r="BJ164" i="3"/>
  <c r="BJ165" i="3"/>
  <c r="BJ166" i="3"/>
  <c r="BJ178" i="3"/>
  <c r="BI178" i="3"/>
  <c r="BJ179" i="3"/>
  <c r="BK4" i="3"/>
  <c r="F2" i="10"/>
  <c r="D118" i="10"/>
  <c r="BS4" i="3"/>
  <c r="BK5" i="3"/>
  <c r="F3" i="10"/>
  <c r="BS5" i="3"/>
  <c r="BK6" i="3"/>
  <c r="F4" i="10"/>
  <c r="BS6" i="3"/>
  <c r="BK7" i="3"/>
  <c r="F5" i="10"/>
  <c r="BS7" i="3"/>
  <c r="BK8" i="3"/>
  <c r="F6" i="10"/>
  <c r="BS8" i="3"/>
  <c r="BK9" i="3"/>
  <c r="F7" i="10"/>
  <c r="BS9" i="3"/>
  <c r="BK10" i="3"/>
  <c r="F8" i="10"/>
  <c r="BS10" i="3"/>
  <c r="BK11" i="3"/>
  <c r="F9" i="10"/>
  <c r="BS11" i="3"/>
  <c r="BK12" i="3"/>
  <c r="F10" i="10"/>
  <c r="BS12" i="3"/>
  <c r="BK13" i="3"/>
  <c r="F11" i="10"/>
  <c r="BS13" i="3"/>
  <c r="BK14" i="3"/>
  <c r="F12" i="10"/>
  <c r="BS14" i="3"/>
  <c r="BK15" i="3"/>
  <c r="F13" i="10"/>
  <c r="BS15" i="3"/>
  <c r="BK16" i="3"/>
  <c r="F14" i="10"/>
  <c r="BS16" i="3"/>
  <c r="BK17" i="3"/>
  <c r="F15" i="10"/>
  <c r="BS17" i="3"/>
  <c r="BK18" i="3"/>
  <c r="F16" i="10"/>
  <c r="BS18" i="3"/>
  <c r="BK19" i="3"/>
  <c r="F17" i="10"/>
  <c r="BS19" i="3"/>
  <c r="BK20" i="3"/>
  <c r="F18" i="10"/>
  <c r="BS20" i="3"/>
  <c r="BK21" i="3"/>
  <c r="F19" i="10"/>
  <c r="BS21" i="3"/>
  <c r="BK22" i="3"/>
  <c r="F20" i="10"/>
  <c r="BS22" i="3"/>
  <c r="BK23" i="3"/>
  <c r="F21" i="10"/>
  <c r="BS23" i="3"/>
  <c r="BK24" i="3"/>
  <c r="F22" i="10"/>
  <c r="BS24" i="3"/>
  <c r="BK25" i="3"/>
  <c r="F23" i="10"/>
  <c r="BS25" i="3"/>
  <c r="BK26" i="3"/>
  <c r="F24" i="10"/>
  <c r="BS26" i="3"/>
  <c r="BK27" i="3"/>
  <c r="F25" i="10"/>
  <c r="BS27" i="3"/>
  <c r="BK28" i="3"/>
  <c r="F26" i="10"/>
  <c r="BS28" i="3"/>
  <c r="BK29" i="3"/>
  <c r="F27" i="10"/>
  <c r="BS29" i="3"/>
  <c r="BK30" i="3"/>
  <c r="F28" i="10"/>
  <c r="BS30" i="3"/>
  <c r="BK31" i="3"/>
  <c r="F29" i="10"/>
  <c r="BS31" i="3"/>
  <c r="BK32" i="3"/>
  <c r="F30" i="10"/>
  <c r="BS32" i="3"/>
  <c r="BK33" i="3"/>
  <c r="F31" i="10"/>
  <c r="BS33" i="3"/>
  <c r="BK34" i="3"/>
  <c r="F32" i="10"/>
  <c r="BS34" i="3"/>
  <c r="BK35" i="3"/>
  <c r="F33" i="10"/>
  <c r="BS35" i="3"/>
  <c r="BK36" i="3"/>
  <c r="F34" i="10"/>
  <c r="BS36" i="3"/>
  <c r="BK37" i="3"/>
  <c r="F35" i="10"/>
  <c r="BS37" i="3"/>
  <c r="BK38" i="3"/>
  <c r="F36" i="10"/>
  <c r="BS38" i="3"/>
  <c r="BK39" i="3"/>
  <c r="F37" i="10"/>
  <c r="BS39" i="3"/>
  <c r="BK40" i="3"/>
  <c r="F38" i="10"/>
  <c r="BS40" i="3"/>
  <c r="BK41" i="3"/>
  <c r="F39" i="10"/>
  <c r="BS41" i="3"/>
  <c r="BK42" i="3"/>
  <c r="F40" i="10"/>
  <c r="BS42" i="3"/>
  <c r="BK43" i="3"/>
  <c r="F41" i="10"/>
  <c r="BS43" i="3"/>
  <c r="BK44" i="3"/>
  <c r="BS44" i="3"/>
  <c r="BK45" i="3"/>
  <c r="F43" i="10"/>
  <c r="BS45" i="3"/>
  <c r="BK46" i="3"/>
  <c r="F44" i="10"/>
  <c r="BS46" i="3"/>
  <c r="BK47" i="3"/>
  <c r="F45" i="10"/>
  <c r="BS47" i="3"/>
  <c r="BK48" i="3"/>
  <c r="F46" i="10"/>
  <c r="BS48" i="3"/>
  <c r="BK49" i="3"/>
  <c r="F47" i="10"/>
  <c r="BS49" i="3"/>
  <c r="BK50" i="3"/>
  <c r="F48" i="10"/>
  <c r="BS50" i="3"/>
  <c r="BK51" i="3"/>
  <c r="F49" i="10"/>
  <c r="BS51" i="3"/>
  <c r="BK52" i="3"/>
  <c r="F50" i="10"/>
  <c r="BS52" i="3"/>
  <c r="BK53" i="3"/>
  <c r="F51" i="10"/>
  <c r="BS53" i="3"/>
  <c r="BK54" i="3"/>
  <c r="F52" i="10"/>
  <c r="BS54" i="3"/>
  <c r="BK55" i="3"/>
  <c r="F53" i="10"/>
  <c r="BS55" i="3"/>
  <c r="BK56" i="3"/>
  <c r="F54" i="10"/>
  <c r="BS56" i="3"/>
  <c r="BK57" i="3"/>
  <c r="F55" i="10"/>
  <c r="BS57" i="3"/>
  <c r="BK58" i="3"/>
  <c r="F56" i="10"/>
  <c r="BS58" i="3"/>
  <c r="BK59" i="3"/>
  <c r="F57" i="10"/>
  <c r="BS59" i="3"/>
  <c r="BK60" i="3"/>
  <c r="F58" i="10"/>
  <c r="BS60" i="3"/>
  <c r="BK61" i="3"/>
  <c r="F59" i="10"/>
  <c r="BS61" i="3"/>
  <c r="BK62" i="3"/>
  <c r="F60" i="10"/>
  <c r="BS62" i="3"/>
  <c r="BK63" i="3"/>
  <c r="F61" i="10"/>
  <c r="BS63" i="3"/>
  <c r="BK64" i="3"/>
  <c r="F62" i="10"/>
  <c r="BS64" i="3"/>
  <c r="BK65" i="3"/>
  <c r="F63" i="10"/>
  <c r="BS65" i="3"/>
  <c r="BK66" i="3"/>
  <c r="F64" i="10"/>
  <c r="BS66" i="3"/>
  <c r="BK67" i="3"/>
  <c r="F65" i="10"/>
  <c r="BS67" i="3"/>
  <c r="BK68" i="3"/>
  <c r="F66" i="10"/>
  <c r="BS68" i="3"/>
  <c r="BK69" i="3"/>
  <c r="F67" i="10"/>
  <c r="BS69" i="3"/>
  <c r="BK70" i="3"/>
  <c r="F68" i="10"/>
  <c r="BS70" i="3"/>
  <c r="BK71" i="3"/>
  <c r="F69" i="10"/>
  <c r="BS71" i="3"/>
  <c r="BK72" i="3"/>
  <c r="F70" i="10"/>
  <c r="BS72" i="3"/>
  <c r="BK73" i="3"/>
  <c r="F71" i="10"/>
  <c r="BS73" i="3"/>
  <c r="BK74" i="3"/>
  <c r="F72" i="10"/>
  <c r="BS74" i="3"/>
  <c r="BK75" i="3"/>
  <c r="F73" i="10"/>
  <c r="BS75" i="3"/>
  <c r="BK76" i="3"/>
  <c r="F74" i="10"/>
  <c r="BS76" i="3"/>
  <c r="BK77" i="3"/>
  <c r="F75" i="10"/>
  <c r="BS77" i="3"/>
  <c r="BK78" i="3"/>
  <c r="F76" i="10"/>
  <c r="BS78" i="3"/>
  <c r="BK79" i="3"/>
  <c r="F77" i="10"/>
  <c r="BS79" i="3"/>
  <c r="BK80" i="3"/>
  <c r="F78" i="10"/>
  <c r="BS80" i="3"/>
  <c r="BK81" i="3"/>
  <c r="F79" i="10"/>
  <c r="BS81" i="3"/>
  <c r="BK82" i="3"/>
  <c r="F80" i="10"/>
  <c r="BS82" i="3"/>
  <c r="BK83" i="3"/>
  <c r="F81" i="10"/>
  <c r="BS83" i="3"/>
  <c r="BK84" i="3"/>
  <c r="F82" i="10"/>
  <c r="BS84" i="3"/>
  <c r="BK85" i="3"/>
  <c r="F83" i="10"/>
  <c r="BS85" i="3"/>
  <c r="BK86" i="3"/>
  <c r="F84" i="10"/>
  <c r="BS86" i="3"/>
  <c r="BK87" i="3"/>
  <c r="F85" i="10"/>
  <c r="BS87" i="3"/>
  <c r="BK88" i="3"/>
  <c r="F86" i="10"/>
  <c r="BS88" i="3"/>
  <c r="BK89" i="3"/>
  <c r="F87" i="10"/>
  <c r="BS89" i="3"/>
  <c r="BK90" i="3"/>
  <c r="F88" i="10"/>
  <c r="BS90" i="3"/>
  <c r="BK91" i="3"/>
  <c r="F89" i="10"/>
  <c r="BS91" i="3"/>
  <c r="BK92" i="3"/>
  <c r="F90" i="10"/>
  <c r="BS92" i="3"/>
  <c r="BK93" i="3"/>
  <c r="F91" i="10"/>
  <c r="BS93" i="3"/>
  <c r="BK94" i="3"/>
  <c r="F92" i="10"/>
  <c r="BS94" i="3"/>
  <c r="BK95" i="3"/>
  <c r="F93" i="10"/>
  <c r="BS95" i="3"/>
  <c r="BK96" i="3"/>
  <c r="F94" i="10"/>
  <c r="BS96" i="3"/>
  <c r="BK97" i="3"/>
  <c r="F95" i="10"/>
  <c r="BS97" i="3"/>
  <c r="BK98" i="3"/>
  <c r="F96" i="10"/>
  <c r="BS98" i="3"/>
  <c r="BK99" i="3"/>
  <c r="F97" i="10"/>
  <c r="BS99" i="3"/>
  <c r="BK100" i="3"/>
  <c r="F98" i="10"/>
  <c r="BS100" i="3"/>
  <c r="BK101" i="3"/>
  <c r="F99" i="10"/>
  <c r="BS101" i="3"/>
  <c r="BK102" i="3"/>
  <c r="F100" i="10"/>
  <c r="BS102" i="3"/>
  <c r="BK103" i="3"/>
  <c r="F101" i="10"/>
  <c r="BS103" i="3"/>
  <c r="BK104" i="3"/>
  <c r="F102" i="10"/>
  <c r="BS104" i="3"/>
  <c r="BK105" i="3"/>
  <c r="F103" i="10"/>
  <c r="BS105" i="3"/>
  <c r="BK106" i="3"/>
  <c r="F104" i="10"/>
  <c r="BS106" i="3"/>
  <c r="BK107" i="3"/>
  <c r="F105" i="10"/>
  <c r="BS107" i="3"/>
  <c r="BK108" i="3"/>
  <c r="F106" i="10"/>
  <c r="BS108" i="3"/>
  <c r="BK109" i="3"/>
  <c r="F107" i="10"/>
  <c r="BS109" i="3"/>
  <c r="BK110" i="3"/>
  <c r="F108" i="10"/>
  <c r="BS110" i="3"/>
  <c r="BK111" i="3"/>
  <c r="F109" i="10"/>
  <c r="BS111" i="3"/>
  <c r="BK112" i="3"/>
  <c r="F110" i="10"/>
  <c r="BS112" i="3"/>
  <c r="BK113" i="3"/>
  <c r="F111" i="10"/>
  <c r="BS113" i="3"/>
  <c r="BK114" i="3"/>
  <c r="F112" i="10"/>
  <c r="BS114" i="3"/>
  <c r="BK115" i="3"/>
  <c r="F113" i="10"/>
  <c r="BS115" i="3"/>
  <c r="BK116" i="3"/>
  <c r="F114" i="10"/>
  <c r="BS116" i="3"/>
  <c r="BK117" i="3"/>
  <c r="F115" i="10"/>
  <c r="BS117" i="3"/>
  <c r="BK118" i="3"/>
  <c r="F116" i="10"/>
  <c r="BS118" i="3"/>
  <c r="BK119" i="3"/>
  <c r="M117" i="10"/>
  <c r="BS119" i="3"/>
  <c r="BK120" i="3"/>
  <c r="M118" i="10"/>
  <c r="BS120" i="3"/>
  <c r="BK121" i="3"/>
  <c r="M119" i="10"/>
  <c r="BS121" i="3"/>
  <c r="BK122" i="3"/>
  <c r="M120" i="10"/>
  <c r="BS122" i="3"/>
  <c r="BK123" i="3"/>
  <c r="M121" i="10"/>
  <c r="BS123" i="3"/>
  <c r="BK124" i="3"/>
  <c r="M122" i="10"/>
  <c r="BS124" i="3"/>
  <c r="BK125" i="3"/>
  <c r="M123" i="10"/>
  <c r="BS125" i="3"/>
  <c r="BK126" i="3"/>
  <c r="M124" i="10"/>
  <c r="BS126" i="3"/>
  <c r="BK127" i="3"/>
  <c r="M125" i="10"/>
  <c r="BS127" i="3"/>
  <c r="BK128" i="3"/>
  <c r="M126" i="10"/>
  <c r="BS128" i="3"/>
  <c r="BK129" i="3"/>
  <c r="M127" i="10"/>
  <c r="BS129" i="3"/>
  <c r="BK130" i="3"/>
  <c r="M128" i="10"/>
  <c r="BS130" i="3"/>
  <c r="BK131" i="3"/>
  <c r="M129" i="10"/>
  <c r="BS131" i="3"/>
  <c r="BK132" i="3"/>
  <c r="M130" i="10"/>
  <c r="BS132" i="3"/>
  <c r="BK133" i="3"/>
  <c r="M131" i="10"/>
  <c r="BS133" i="3"/>
  <c r="BK134" i="3"/>
  <c r="M132" i="10"/>
  <c r="BS134" i="3"/>
  <c r="BK135" i="3"/>
  <c r="M133" i="10"/>
  <c r="BS135" i="3"/>
  <c r="BK136" i="3"/>
  <c r="M134" i="10"/>
  <c r="BS136" i="3"/>
  <c r="BK137" i="3"/>
  <c r="M135" i="10"/>
  <c r="BS137" i="3"/>
  <c r="BK138" i="3"/>
  <c r="M136" i="10"/>
  <c r="BS138" i="3"/>
  <c r="BK139" i="3"/>
  <c r="M137" i="10"/>
  <c r="BS139" i="3"/>
  <c r="BK140" i="3"/>
  <c r="M138" i="10"/>
  <c r="BS140" i="3"/>
  <c r="BK141" i="3"/>
  <c r="M139" i="10"/>
  <c r="BS141" i="3"/>
  <c r="BK142" i="3"/>
  <c r="M140" i="10"/>
  <c r="BS142" i="3"/>
  <c r="BK143" i="3"/>
  <c r="M141" i="10"/>
  <c r="BS143" i="3"/>
  <c r="BK144" i="3"/>
  <c r="M142" i="10"/>
  <c r="BS144" i="3"/>
  <c r="BK145" i="3"/>
  <c r="M143" i="10"/>
  <c r="BS145" i="3"/>
  <c r="BK146" i="3"/>
  <c r="M144" i="10"/>
  <c r="BS146" i="3"/>
  <c r="BK147" i="3"/>
  <c r="M145" i="10"/>
  <c r="BS147" i="3"/>
  <c r="BK148" i="3"/>
  <c r="M146" i="10"/>
  <c r="BS148" i="3"/>
  <c r="BK149" i="3"/>
  <c r="M147" i="10"/>
  <c r="BS149" i="3"/>
  <c r="BK150" i="3"/>
  <c r="M148" i="10"/>
  <c r="BS150" i="3"/>
  <c r="BK151" i="3"/>
  <c r="M149" i="10"/>
  <c r="BS151" i="3"/>
  <c r="BK152" i="3"/>
  <c r="M150" i="10"/>
  <c r="BS152" i="3"/>
  <c r="BK153" i="3"/>
  <c r="M151" i="10"/>
  <c r="BS153" i="3"/>
  <c r="BK154" i="3"/>
  <c r="M152" i="10"/>
  <c r="BS154" i="3"/>
  <c r="BK155" i="3"/>
  <c r="M153" i="10"/>
  <c r="BS155" i="3"/>
  <c r="BK156" i="3"/>
  <c r="M154" i="10"/>
  <c r="BS156" i="3"/>
  <c r="BK157" i="3"/>
  <c r="M155" i="10"/>
  <c r="BS157" i="3"/>
  <c r="BK158" i="3"/>
  <c r="M156" i="10"/>
  <c r="BS158" i="3"/>
  <c r="BK159" i="3"/>
  <c r="M157" i="10"/>
  <c r="BS159" i="3"/>
  <c r="BK160" i="3"/>
  <c r="M158" i="10"/>
  <c r="BS160" i="3"/>
  <c r="BK161" i="3"/>
  <c r="M159" i="10"/>
  <c r="BS161" i="3"/>
  <c r="M160" i="10"/>
  <c r="M161" i="10"/>
  <c r="M162" i="10"/>
  <c r="M163" i="10"/>
  <c r="M164" i="10"/>
  <c r="BS167" i="3"/>
  <c r="BK168" i="3"/>
  <c r="BS168" i="3"/>
  <c r="BK169" i="3"/>
  <c r="BS169" i="3"/>
  <c r="BK172" i="3"/>
  <c r="M165" i="10"/>
  <c r="BS172" i="3"/>
  <c r="BK173" i="3"/>
  <c r="M166" i="10"/>
  <c r="BS173" i="3"/>
  <c r="BK174" i="3"/>
  <c r="M167" i="10"/>
  <c r="BS174" i="3"/>
  <c r="BK175" i="3"/>
  <c r="M168" i="10"/>
  <c r="BS175" i="3"/>
  <c r="BK176" i="3"/>
  <c r="M169" i="10"/>
  <c r="BS176" i="3"/>
  <c r="BS170" i="3"/>
  <c r="BS171" i="3"/>
  <c r="K161" i="4"/>
  <c r="K162" i="4"/>
  <c r="K163" i="4"/>
  <c r="K164" i="4"/>
  <c r="K165" i="4"/>
  <c r="P161" i="4"/>
  <c r="AB161" i="4"/>
  <c r="P162" i="4"/>
  <c r="AB162" i="4"/>
  <c r="P163" i="4"/>
  <c r="AB163" i="4"/>
  <c r="P164" i="4"/>
  <c r="AB164" i="4"/>
  <c r="P165" i="4"/>
  <c r="AB165" i="4"/>
  <c r="A166" i="4"/>
  <c r="B166" i="4" s="1"/>
  <c r="B165" i="4"/>
  <c r="B164" i="4"/>
  <c r="B163" i="4"/>
  <c r="B162" i="4"/>
  <c r="B161" i="4"/>
  <c r="E166" i="6"/>
  <c r="O160" i="8"/>
  <c r="R160" i="8" s="1"/>
  <c r="P160" i="8"/>
  <c r="Q160" i="8"/>
  <c r="O161" i="8"/>
  <c r="P161" i="8"/>
  <c r="Q161" i="8"/>
  <c r="O162" i="8"/>
  <c r="P162" i="8"/>
  <c r="Q162" i="8"/>
  <c r="O163" i="8"/>
  <c r="P163" i="8"/>
  <c r="Q163" i="8"/>
  <c r="O164" i="8"/>
  <c r="P164" i="8"/>
  <c r="Q164" i="8"/>
  <c r="CK162" i="3"/>
  <c r="CL162" i="3"/>
  <c r="CM162" i="3"/>
  <c r="CN162" i="3"/>
  <c r="CO162" i="3"/>
  <c r="CQ162" i="3"/>
  <c r="CR162" i="3"/>
  <c r="CK163" i="3"/>
  <c r="CL163" i="3"/>
  <c r="CM163" i="3"/>
  <c r="CN163" i="3"/>
  <c r="CO163" i="3"/>
  <c r="CQ163" i="3"/>
  <c r="CR163" i="3"/>
  <c r="CK164" i="3"/>
  <c r="CL164" i="3"/>
  <c r="CM164" i="3"/>
  <c r="CN164" i="3"/>
  <c r="CO164" i="3"/>
  <c r="CQ164" i="3"/>
  <c r="CR164" i="3"/>
  <c r="CK165" i="3"/>
  <c r="CL165" i="3"/>
  <c r="CM165" i="3"/>
  <c r="CN165" i="3"/>
  <c r="CO165" i="3"/>
  <c r="CQ165" i="3"/>
  <c r="CR165" i="3"/>
  <c r="CK166" i="3"/>
  <c r="CL166" i="3"/>
  <c r="CM166" i="3"/>
  <c r="CN166" i="3"/>
  <c r="CO166" i="3"/>
  <c r="CQ166" i="3"/>
  <c r="CR166" i="3"/>
  <c r="X5" i="6"/>
  <c r="X6" i="6"/>
  <c r="O2" i="8"/>
  <c r="V3" i="5" s="1"/>
  <c r="O3" i="8"/>
  <c r="V4" i="5" s="1"/>
  <c r="E3" i="9"/>
  <c r="O4" i="8"/>
  <c r="V5" i="5" s="1"/>
  <c r="O5" i="8"/>
  <c r="V6" i="5" s="1"/>
  <c r="X10" i="6"/>
  <c r="Z10" i="6" s="1"/>
  <c r="X11" i="6"/>
  <c r="Z11" i="6" s="1"/>
  <c r="G3" i="8" s="1"/>
  <c r="I3" i="8" s="1"/>
  <c r="AB11" i="6"/>
  <c r="O6" i="8"/>
  <c r="V7" i="5" s="1"/>
  <c r="G2" i="8"/>
  <c r="I2" i="8" s="1"/>
  <c r="AB10" i="6"/>
  <c r="O8" i="8"/>
  <c r="V9" i="5" s="1"/>
  <c r="O11" i="8"/>
  <c r="V12" i="5" s="1"/>
  <c r="O12" i="8"/>
  <c r="V13" i="5" s="1"/>
  <c r="F13" i="9"/>
  <c r="O14" i="8"/>
  <c r="V15" i="5" s="1"/>
  <c r="O15" i="8"/>
  <c r="V16" i="5" s="1"/>
  <c r="O16" i="8"/>
  <c r="V17" i="5" s="1"/>
  <c r="G9" i="8"/>
  <c r="I9" i="8" s="1"/>
  <c r="G11" i="8"/>
  <c r="I11" i="8" s="1"/>
  <c r="O19" i="8"/>
  <c r="V20" i="5" s="1"/>
  <c r="O20" i="8"/>
  <c r="V21" i="5" s="1"/>
  <c r="O23" i="8"/>
  <c r="V24" i="5" s="1"/>
  <c r="O24" i="8"/>
  <c r="V25" i="5" s="1"/>
  <c r="O25" i="8"/>
  <c r="V26" i="5" s="1"/>
  <c r="G16" i="8"/>
  <c r="I16" i="8" s="1"/>
  <c r="O28" i="8"/>
  <c r="V29" i="5" s="1"/>
  <c r="E28" i="9"/>
  <c r="O29" i="8"/>
  <c r="V30" i="5" s="1"/>
  <c r="O30" i="8"/>
  <c r="V31" i="5" s="1"/>
  <c r="O31" i="8"/>
  <c r="V32" i="5" s="1"/>
  <c r="O32" i="8"/>
  <c r="V33" i="5" s="1"/>
  <c r="O33" i="8"/>
  <c r="V34" i="5" s="1"/>
  <c r="O34" i="8"/>
  <c r="V35" i="5" s="1"/>
  <c r="O35" i="8"/>
  <c r="V36" i="5" s="1"/>
  <c r="O36" i="8"/>
  <c r="V37" i="5" s="1"/>
  <c r="E37" i="6"/>
  <c r="O38" i="8"/>
  <c r="V39" i="5" s="1"/>
  <c r="O39" i="8"/>
  <c r="V40" i="5" s="1"/>
  <c r="F39" i="9"/>
  <c r="G18" i="8"/>
  <c r="I18" i="8"/>
  <c r="G20" i="8"/>
  <c r="I20" i="8"/>
  <c r="G21" i="8"/>
  <c r="I21" i="8"/>
  <c r="G22" i="8"/>
  <c r="I22" i="8"/>
  <c r="G25" i="8"/>
  <c r="I25" i="8"/>
  <c r="G26" i="8"/>
  <c r="I26" i="8"/>
  <c r="G28" i="8"/>
  <c r="I28" i="8"/>
  <c r="G30" i="8"/>
  <c r="I30" i="8" s="1"/>
  <c r="G31" i="8"/>
  <c r="I31" i="8" s="1"/>
  <c r="G32" i="8"/>
  <c r="I32" i="8" s="1"/>
  <c r="G34" i="8"/>
  <c r="I34" i="8" s="1"/>
  <c r="G35" i="8"/>
  <c r="I35" i="8" s="1"/>
  <c r="G36" i="8"/>
  <c r="I36" i="8" s="1"/>
  <c r="G37" i="8"/>
  <c r="I37" i="8" s="1"/>
  <c r="G38" i="8"/>
  <c r="I38" i="8" s="1"/>
  <c r="G39" i="8"/>
  <c r="I39" i="8" s="1"/>
  <c r="G41" i="8"/>
  <c r="I41" i="8" s="1"/>
  <c r="G42" i="8"/>
  <c r="I42" i="8" s="1"/>
  <c r="O41" i="8"/>
  <c r="V42" i="5" s="1"/>
  <c r="O44" i="8"/>
  <c r="V45" i="5" s="1"/>
  <c r="O45" i="8"/>
  <c r="V46" i="5" s="1"/>
  <c r="O46" i="8"/>
  <c r="V47" i="5" s="1"/>
  <c r="O48" i="8"/>
  <c r="V49" i="5" s="1"/>
  <c r="O49" i="8"/>
  <c r="V50" i="5" s="1"/>
  <c r="O52" i="8"/>
  <c r="V53" i="5" s="1"/>
  <c r="O53" i="8"/>
  <c r="V54" i="5" s="1"/>
  <c r="O54" i="8"/>
  <c r="V55" i="5" s="1"/>
  <c r="O55" i="8"/>
  <c r="V56" i="5" s="1"/>
  <c r="O56" i="8"/>
  <c r="V57" i="5" s="1"/>
  <c r="O57" i="8"/>
  <c r="V58" i="5" s="1"/>
  <c r="E57" i="6"/>
  <c r="O59" i="8"/>
  <c r="V60" i="5" s="1"/>
  <c r="O60" i="8"/>
  <c r="V61" i="5" s="1"/>
  <c r="O62" i="8"/>
  <c r="V63" i="5" s="1"/>
  <c r="E62" i="6"/>
  <c r="G62" i="6" s="1"/>
  <c r="Q62" i="6" s="1"/>
  <c r="O63" i="8"/>
  <c r="V64" i="5" s="1"/>
  <c r="O64" i="8"/>
  <c r="V65" i="5" s="1"/>
  <c r="E64" i="6"/>
  <c r="G64" i="6" s="1"/>
  <c r="Q64" i="6" s="1"/>
  <c r="O66" i="8"/>
  <c r="V67" i="5" s="1"/>
  <c r="O67" i="8"/>
  <c r="V68" i="5" s="1"/>
  <c r="O68" i="8"/>
  <c r="V69" i="5" s="1"/>
  <c r="O69" i="8"/>
  <c r="V70" i="5" s="1"/>
  <c r="O70" i="8"/>
  <c r="V71" i="5" s="1"/>
  <c r="E70" i="9"/>
  <c r="O71" i="8"/>
  <c r="V72" i="5" s="1"/>
  <c r="F71" i="9"/>
  <c r="O72" i="8"/>
  <c r="V73" i="5" s="1"/>
  <c r="O74" i="8"/>
  <c r="V75" i="5" s="1"/>
  <c r="O76" i="8"/>
  <c r="V77" i="5" s="1"/>
  <c r="O77" i="8"/>
  <c r="V78" i="5" s="1"/>
  <c r="O78" i="8"/>
  <c r="V79" i="5" s="1"/>
  <c r="O79" i="8"/>
  <c r="V80" i="5" s="1"/>
  <c r="E79" i="6"/>
  <c r="O80" i="8"/>
  <c r="V81" i="5" s="1"/>
  <c r="O81" i="8"/>
  <c r="V82" i="5" s="1"/>
  <c r="O82" i="8"/>
  <c r="O83" i="8"/>
  <c r="V84" i="5" s="1"/>
  <c r="O84" i="8"/>
  <c r="V85" i="5" s="1"/>
  <c r="O85" i="8"/>
  <c r="V86" i="5" s="1"/>
  <c r="O86" i="8"/>
  <c r="O87" i="8"/>
  <c r="V88" i="5" s="1"/>
  <c r="E87" i="6"/>
  <c r="E88" i="9"/>
  <c r="O89" i="8"/>
  <c r="V90" i="5" s="1"/>
  <c r="O90" i="8"/>
  <c r="V91" i="5" s="1"/>
  <c r="F90" i="6"/>
  <c r="O92" i="8"/>
  <c r="V93" i="5" s="1"/>
  <c r="O93" i="8"/>
  <c r="V94" i="5" s="1"/>
  <c r="O94" i="8"/>
  <c r="O95" i="8"/>
  <c r="V96" i="5" s="1"/>
  <c r="E95" i="6"/>
  <c r="G95" i="6" s="1"/>
  <c r="Q95" i="6" s="1"/>
  <c r="O96" i="8"/>
  <c r="V97" i="5" s="1"/>
  <c r="O97" i="8"/>
  <c r="V98" i="5" s="1"/>
  <c r="O98" i="8"/>
  <c r="V99" i="5" s="1"/>
  <c r="O100" i="8"/>
  <c r="V101" i="5" s="1"/>
  <c r="O101" i="8"/>
  <c r="V102" i="5" s="1"/>
  <c r="O102" i="8"/>
  <c r="V103" i="5" s="1"/>
  <c r="E102" i="6"/>
  <c r="F102" i="6"/>
  <c r="O103" i="8"/>
  <c r="V104" i="5" s="1"/>
  <c r="E103" i="9"/>
  <c r="O104" i="8"/>
  <c r="O105" i="8"/>
  <c r="V106" i="5" s="1"/>
  <c r="E106" i="6"/>
  <c r="G106" i="6" s="1"/>
  <c r="Q106" i="6" s="1"/>
  <c r="O107" i="8"/>
  <c r="V108" i="5" s="1"/>
  <c r="O108" i="8"/>
  <c r="V109" i="5" s="1"/>
  <c r="E108" i="6"/>
  <c r="O109" i="8"/>
  <c r="V110" i="5" s="1"/>
  <c r="O110" i="8"/>
  <c r="V111" i="5" s="1"/>
  <c r="E110" i="9"/>
  <c r="O111" i="8"/>
  <c r="V112" i="5" s="1"/>
  <c r="E112" i="6"/>
  <c r="G112" i="6" s="1"/>
  <c r="Q112" i="6" s="1"/>
  <c r="O113" i="8"/>
  <c r="V114" i="5" s="1"/>
  <c r="E113" i="9"/>
  <c r="O114" i="8"/>
  <c r="O115" i="8"/>
  <c r="V116" i="5" s="1"/>
  <c r="O116" i="8"/>
  <c r="V117" i="5" s="1"/>
  <c r="E116" i="9"/>
  <c r="O117" i="8"/>
  <c r="F117" i="9"/>
  <c r="O118" i="8"/>
  <c r="V119" i="5" s="1"/>
  <c r="E118" i="6"/>
  <c r="G118" i="6" s="1"/>
  <c r="Q118" i="6" s="1"/>
  <c r="E118" i="9"/>
  <c r="O119" i="8"/>
  <c r="F119" i="9"/>
  <c r="O120" i="8"/>
  <c r="V121" i="5" s="1"/>
  <c r="E120" i="6"/>
  <c r="F120" i="6"/>
  <c r="O121" i="8"/>
  <c r="V122" i="5" s="1"/>
  <c r="E121" i="9"/>
  <c r="O122" i="8"/>
  <c r="F122" i="9"/>
  <c r="O123" i="8"/>
  <c r="V124" i="5" s="1"/>
  <c r="E123" i="6"/>
  <c r="F123" i="6"/>
  <c r="O124" i="8"/>
  <c r="V125" i="5" s="1"/>
  <c r="O125" i="8"/>
  <c r="V126" i="5" s="1"/>
  <c r="F125" i="9"/>
  <c r="O126" i="8"/>
  <c r="V127" i="5" s="1"/>
  <c r="E126" i="6"/>
  <c r="F126" i="6"/>
  <c r="O127" i="8"/>
  <c r="V128" i="5" s="1"/>
  <c r="E127" i="9"/>
  <c r="O128" i="8"/>
  <c r="V129" i="5" s="1"/>
  <c r="F128" i="6"/>
  <c r="O129" i="8"/>
  <c r="V130" i="5" s="1"/>
  <c r="E129" i="9"/>
  <c r="O130" i="8"/>
  <c r="F130" i="9"/>
  <c r="O131" i="8"/>
  <c r="V132" i="5" s="1"/>
  <c r="E131" i="6"/>
  <c r="F131" i="6"/>
  <c r="O132" i="8"/>
  <c r="V133" i="5" s="1"/>
  <c r="O133" i="8"/>
  <c r="V134" i="5" s="1"/>
  <c r="E133" i="9"/>
  <c r="O134" i="8"/>
  <c r="F134" i="9"/>
  <c r="O135" i="8"/>
  <c r="V136" i="5" s="1"/>
  <c r="E135" i="6"/>
  <c r="F135" i="6"/>
  <c r="O136" i="8"/>
  <c r="V137" i="5" s="1"/>
  <c r="E136" i="9"/>
  <c r="O137" i="8"/>
  <c r="F137" i="9"/>
  <c r="O138" i="8"/>
  <c r="V139" i="5" s="1"/>
  <c r="E138" i="6"/>
  <c r="G138" i="6" s="1"/>
  <c r="Q138" i="6" s="1"/>
  <c r="O139" i="8"/>
  <c r="V140" i="5" s="1"/>
  <c r="E139" i="9"/>
  <c r="O140" i="8"/>
  <c r="V141" i="5" s="1"/>
  <c r="F140" i="6"/>
  <c r="O141" i="8"/>
  <c r="V142" i="5" s="1"/>
  <c r="O142" i="8"/>
  <c r="V143" i="5" s="1"/>
  <c r="E142" i="9"/>
  <c r="O143" i="8"/>
  <c r="F143" i="6"/>
  <c r="O144" i="8"/>
  <c r="V145" i="5" s="1"/>
  <c r="E144" i="9"/>
  <c r="O145" i="8"/>
  <c r="F145" i="9"/>
  <c r="O146" i="8"/>
  <c r="V147" i="5" s="1"/>
  <c r="E146" i="6"/>
  <c r="F146" i="6"/>
  <c r="O147" i="8"/>
  <c r="V148" i="5" s="1"/>
  <c r="O148" i="8"/>
  <c r="V149" i="5" s="1"/>
  <c r="E148" i="9"/>
  <c r="O149" i="8"/>
  <c r="F149" i="9"/>
  <c r="O150" i="8"/>
  <c r="V151" i="5" s="1"/>
  <c r="E150" i="6"/>
  <c r="F150" i="6"/>
  <c r="O151" i="8"/>
  <c r="V152" i="5" s="1"/>
  <c r="O152" i="8"/>
  <c r="V153" i="5" s="1"/>
  <c r="E152" i="9"/>
  <c r="O153" i="8"/>
  <c r="F153" i="9"/>
  <c r="O154" i="8"/>
  <c r="V155" i="5" s="1"/>
  <c r="E154" i="6"/>
  <c r="F154" i="6"/>
  <c r="O155" i="8"/>
  <c r="V156" i="5" s="1"/>
  <c r="E155" i="9"/>
  <c r="O156" i="8"/>
  <c r="V157" i="5" s="1"/>
  <c r="F156" i="9"/>
  <c r="O157" i="8"/>
  <c r="V158" i="5" s="1"/>
  <c r="E157" i="6"/>
  <c r="G157" i="6" s="1"/>
  <c r="Q157" i="6" s="1"/>
  <c r="O158" i="8"/>
  <c r="V159" i="5" s="1"/>
  <c r="E158" i="9"/>
  <c r="O159" i="8"/>
  <c r="F159" i="9"/>
  <c r="F166" i="9"/>
  <c r="F167" i="9"/>
  <c r="F168" i="9"/>
  <c r="F169" i="9"/>
  <c r="O165" i="8"/>
  <c r="V166" i="5" s="1"/>
  <c r="O166" i="8"/>
  <c r="O167" i="8"/>
  <c r="V168" i="5" s="1"/>
  <c r="O168" i="8"/>
  <c r="V169" i="5" s="1"/>
  <c r="O169" i="8"/>
  <c r="V170" i="5" s="1"/>
  <c r="O170" i="8"/>
  <c r="O171" i="8"/>
  <c r="V172" i="5" s="1"/>
  <c r="O172" i="8"/>
  <c r="V173" i="5" s="1"/>
  <c r="F172" i="9"/>
  <c r="O173" i="8"/>
  <c r="V174" i="5" s="1"/>
  <c r="E173" i="9"/>
  <c r="O174" i="8"/>
  <c r="AC161" i="5"/>
  <c r="AC162" i="5"/>
  <c r="AC163" i="5"/>
  <c r="AC164" i="5"/>
  <c r="AC165" i="5"/>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2" i="10"/>
  <c r="BX178" i="3"/>
  <c r="BY178" i="3"/>
  <c r="BZ178" i="3"/>
  <c r="CA178" i="3"/>
  <c r="CB178" i="3"/>
  <c r="CC178" i="3"/>
  <c r="CE178" i="3"/>
  <c r="CF178" i="3"/>
  <c r="CG178" i="3"/>
  <c r="CH178" i="3"/>
  <c r="CI178" i="3"/>
  <c r="CJ178" i="3"/>
  <c r="BW178" i="3"/>
  <c r="B162" i="3"/>
  <c r="B163" i="3"/>
  <c r="B164" i="3"/>
  <c r="B165" i="3"/>
  <c r="B166" i="3"/>
  <c r="D181" i="3"/>
  <c r="A7" i="1"/>
  <c r="M177" i="4"/>
  <c r="G177" i="4"/>
  <c r="B17" i="2"/>
  <c r="P3" i="8"/>
  <c r="P4" i="8"/>
  <c r="P5" i="8"/>
  <c r="P6" i="8"/>
  <c r="P8" i="8"/>
  <c r="P11" i="8"/>
  <c r="P12" i="8"/>
  <c r="P14" i="8"/>
  <c r="P15" i="8"/>
  <c r="P16" i="8"/>
  <c r="P19" i="8"/>
  <c r="P20" i="8"/>
  <c r="P23" i="8"/>
  <c r="P24" i="8"/>
  <c r="P25" i="8"/>
  <c r="P28" i="8"/>
  <c r="P29" i="8"/>
  <c r="P30" i="8"/>
  <c r="P31" i="8"/>
  <c r="P32" i="8"/>
  <c r="P33" i="8"/>
  <c r="P34" i="8"/>
  <c r="P35" i="8"/>
  <c r="P36" i="8"/>
  <c r="P38" i="8"/>
  <c r="P39" i="8"/>
  <c r="P41" i="8"/>
  <c r="P44" i="8"/>
  <c r="P45" i="8"/>
  <c r="P46" i="8"/>
  <c r="P48" i="8"/>
  <c r="P49" i="8"/>
  <c r="P52" i="8"/>
  <c r="P53" i="8"/>
  <c r="P54" i="8"/>
  <c r="P55" i="8"/>
  <c r="P56" i="8"/>
  <c r="P57" i="8"/>
  <c r="P59" i="8"/>
  <c r="P60" i="8"/>
  <c r="P62" i="8"/>
  <c r="P63" i="8"/>
  <c r="P64" i="8"/>
  <c r="P66" i="8"/>
  <c r="P67" i="8"/>
  <c r="P68" i="8"/>
  <c r="P69" i="8"/>
  <c r="P70" i="8"/>
  <c r="P71" i="8"/>
  <c r="P72" i="8"/>
  <c r="P74" i="8"/>
  <c r="P76" i="8"/>
  <c r="P77" i="8"/>
  <c r="P78" i="8"/>
  <c r="P79" i="8"/>
  <c r="P80" i="8"/>
  <c r="P81" i="8"/>
  <c r="P82" i="8"/>
  <c r="P83" i="8"/>
  <c r="P84" i="8"/>
  <c r="P85" i="8"/>
  <c r="P86" i="8"/>
  <c r="P87" i="8"/>
  <c r="P89" i="8"/>
  <c r="P90" i="8"/>
  <c r="P92" i="8"/>
  <c r="P93" i="8"/>
  <c r="P94" i="8"/>
  <c r="P95" i="8"/>
  <c r="P96" i="8"/>
  <c r="P97" i="8"/>
  <c r="P98" i="8"/>
  <c r="P100" i="8"/>
  <c r="P101" i="8"/>
  <c r="P102" i="8"/>
  <c r="P103" i="8"/>
  <c r="P104" i="8"/>
  <c r="P105" i="8"/>
  <c r="P107" i="8"/>
  <c r="P108" i="8"/>
  <c r="P109" i="8"/>
  <c r="P110" i="8"/>
  <c r="P111"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5" i="8"/>
  <c r="P166" i="8"/>
  <c r="P167" i="8"/>
  <c r="P168" i="8"/>
  <c r="P169" i="8"/>
  <c r="P170" i="8"/>
  <c r="P171" i="8"/>
  <c r="P172" i="8"/>
  <c r="P173" i="8"/>
  <c r="P174" i="8"/>
  <c r="P2" i="8"/>
  <c r="Q2" i="8"/>
  <c r="T7" i="8"/>
  <c r="Q3" i="8"/>
  <c r="Q4" i="8"/>
  <c r="Q5" i="8"/>
  <c r="Q6" i="8"/>
  <c r="Q8" i="8"/>
  <c r="Q11" i="8"/>
  <c r="Q12" i="8"/>
  <c r="Q14" i="8"/>
  <c r="Q15" i="8"/>
  <c r="Q16" i="8"/>
  <c r="Q19" i="8"/>
  <c r="Q20" i="8"/>
  <c r="Q23" i="8"/>
  <c r="Q24" i="8"/>
  <c r="Q25" i="8"/>
  <c r="Q28" i="8"/>
  <c r="Q29" i="8"/>
  <c r="Q30" i="8"/>
  <c r="Q31" i="8"/>
  <c r="Q32" i="8"/>
  <c r="Q33" i="8"/>
  <c r="Q34" i="8"/>
  <c r="Q35" i="8"/>
  <c r="Q36" i="8"/>
  <c r="Q38" i="8"/>
  <c r="Q39" i="8"/>
  <c r="Q41" i="8"/>
  <c r="Q44" i="8"/>
  <c r="Q45" i="8"/>
  <c r="Q46" i="8"/>
  <c r="Q48" i="8"/>
  <c r="Q49" i="8"/>
  <c r="Q52" i="8"/>
  <c r="Q53" i="8"/>
  <c r="Q54" i="8"/>
  <c r="Q55" i="8"/>
  <c r="Q56" i="8"/>
  <c r="Q57" i="8"/>
  <c r="Q59" i="8"/>
  <c r="Q60" i="8"/>
  <c r="Q62" i="8"/>
  <c r="Q63" i="8"/>
  <c r="Q64" i="8"/>
  <c r="Q66" i="8"/>
  <c r="Q67" i="8"/>
  <c r="Q68" i="8"/>
  <c r="Q69" i="8"/>
  <c r="Q70" i="8"/>
  <c r="Q71" i="8"/>
  <c r="Q72" i="8"/>
  <c r="Q74" i="8"/>
  <c r="Q76" i="8"/>
  <c r="Q77" i="8"/>
  <c r="Q78" i="8"/>
  <c r="Q79" i="8"/>
  <c r="Q80" i="8"/>
  <c r="Q81" i="8"/>
  <c r="Q82" i="8"/>
  <c r="Q83" i="8"/>
  <c r="Q84" i="8"/>
  <c r="Q85" i="8"/>
  <c r="Q86" i="8"/>
  <c r="Q87" i="8"/>
  <c r="Q89" i="8"/>
  <c r="Q90" i="8"/>
  <c r="Q92" i="8"/>
  <c r="Q93" i="8"/>
  <c r="Q94" i="8"/>
  <c r="Q95" i="8"/>
  <c r="Q96" i="8"/>
  <c r="Q97" i="8"/>
  <c r="Q98" i="8"/>
  <c r="Q100" i="8"/>
  <c r="Q101" i="8"/>
  <c r="Q102" i="8"/>
  <c r="Q103" i="8"/>
  <c r="Q104" i="8"/>
  <c r="Q105" i="8"/>
  <c r="Q107" i="8"/>
  <c r="Q108" i="8"/>
  <c r="Q109" i="8"/>
  <c r="Q110" i="8"/>
  <c r="Q111"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5" i="8"/>
  <c r="Q166" i="8"/>
  <c r="Q167" i="8"/>
  <c r="Q168" i="8"/>
  <c r="Q169" i="8"/>
  <c r="Q170" i="8"/>
  <c r="Q171" i="8"/>
  <c r="Q172" i="8"/>
  <c r="Q173" i="8"/>
  <c r="Q174" i="8"/>
  <c r="R2" i="8"/>
  <c r="AC31" i="6"/>
  <c r="AC32" i="6"/>
  <c r="AC30" i="6"/>
  <c r="AA10" i="6"/>
  <c r="AA23" i="6"/>
  <c r="L4" i="2"/>
  <c r="D177" i="4"/>
  <c r="K175" i="4"/>
  <c r="K174" i="4"/>
  <c r="K173" i="4"/>
  <c r="K172" i="4"/>
  <c r="K171" i="4"/>
  <c r="K170" i="4"/>
  <c r="K169" i="4"/>
  <c r="K168" i="4"/>
  <c r="K167" i="4"/>
  <c r="K166"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C15" i="2"/>
  <c r="B19" i="2" s="1"/>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2" i="10"/>
  <c r="C17" i="2"/>
  <c r="B4" i="2"/>
  <c r="B13" i="2"/>
  <c r="P43" i="8"/>
  <c r="P7" i="8"/>
  <c r="P58" i="8"/>
  <c r="Q106" i="8"/>
  <c r="P106" i="8"/>
  <c r="Q91" i="8"/>
  <c r="P91" i="8"/>
  <c r="P40" i="8"/>
  <c r="Q88" i="8"/>
  <c r="P88" i="8"/>
  <c r="Q37" i="8"/>
  <c r="P37" i="8"/>
  <c r="Q17" i="8"/>
  <c r="P17" i="8"/>
  <c r="Q75" i="8"/>
  <c r="P75" i="8"/>
  <c r="Q51" i="8"/>
  <c r="P51" i="8"/>
  <c r="P42" i="8"/>
  <c r="Q27" i="8"/>
  <c r="P27" i="8"/>
  <c r="Q13" i="8"/>
  <c r="P13" i="8"/>
  <c r="Q112" i="8"/>
  <c r="P112" i="8"/>
  <c r="Q99" i="8"/>
  <c r="P99" i="8"/>
  <c r="Q26" i="8"/>
  <c r="P26" i="8"/>
  <c r="Q10" i="8"/>
  <c r="P10" i="8"/>
  <c r="Q61" i="8"/>
  <c r="P61" i="8"/>
  <c r="Q73" i="8"/>
  <c r="P73" i="8"/>
  <c r="Q65" i="8"/>
  <c r="P65" i="8"/>
  <c r="P50" i="8"/>
  <c r="Q22" i="8"/>
  <c r="P22" i="8"/>
  <c r="Q9" i="8"/>
  <c r="P9" i="8"/>
  <c r="Q21" i="8"/>
  <c r="P21" i="8"/>
  <c r="Q47" i="8"/>
  <c r="P47" i="8"/>
  <c r="Q18" i="8"/>
  <c r="P18" i="8"/>
  <c r="Q42" i="8"/>
  <c r="Q7" i="8"/>
  <c r="Q58" i="8"/>
  <c r="Q50" i="8"/>
  <c r="Q40" i="8"/>
  <c r="BB4" i="3"/>
  <c r="BB66" i="3"/>
  <c r="P9" i="2"/>
  <c r="C174" i="9"/>
  <c r="C173" i="9"/>
  <c r="C172" i="9"/>
  <c r="C171" i="9"/>
  <c r="C170" i="9"/>
  <c r="C169" i="9"/>
  <c r="C168" i="9"/>
  <c r="C167" i="9"/>
  <c r="C166" i="9"/>
  <c r="C165"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C1" i="9"/>
  <c r="B1" i="9"/>
  <c r="A1" i="9"/>
  <c r="P5" i="2"/>
  <c r="Q3" i="2"/>
  <c r="Q5" i="2" s="1"/>
  <c r="R173" i="8"/>
  <c r="R172" i="8"/>
  <c r="R171" i="8"/>
  <c r="R169" i="8"/>
  <c r="R168" i="8"/>
  <c r="R167" i="8"/>
  <c r="R165" i="8"/>
  <c r="R158" i="8"/>
  <c r="R157" i="8"/>
  <c r="R156" i="8"/>
  <c r="R155" i="8"/>
  <c r="R154" i="8"/>
  <c r="R152" i="8"/>
  <c r="R151" i="8"/>
  <c r="R150" i="8"/>
  <c r="R148" i="8"/>
  <c r="R147" i="8"/>
  <c r="R146" i="8"/>
  <c r="R144" i="8"/>
  <c r="R142" i="8"/>
  <c r="R141" i="8"/>
  <c r="R140" i="8"/>
  <c r="R139" i="8"/>
  <c r="R138" i="8"/>
  <c r="R136" i="8"/>
  <c r="R135" i="8"/>
  <c r="R133" i="8"/>
  <c r="R132" i="8"/>
  <c r="R131" i="8"/>
  <c r="R129" i="8"/>
  <c r="R128" i="8"/>
  <c r="R127" i="8"/>
  <c r="R126" i="8"/>
  <c r="R125" i="8"/>
  <c r="R124" i="8"/>
  <c r="R123" i="8"/>
  <c r="R121" i="8"/>
  <c r="R120" i="8"/>
  <c r="R118" i="8"/>
  <c r="R116" i="8"/>
  <c r="R115" i="8"/>
  <c r="R113" i="8"/>
  <c r="R110" i="8"/>
  <c r="R109" i="8"/>
  <c r="R108" i="8"/>
  <c r="R107" i="8"/>
  <c r="R105" i="8"/>
  <c r="R103" i="8"/>
  <c r="R102" i="8"/>
  <c r="R101" i="8"/>
  <c r="R100" i="8"/>
  <c r="R98" i="8"/>
  <c r="R97" i="8"/>
  <c r="R96" i="8"/>
  <c r="R95" i="8"/>
  <c r="R93" i="8"/>
  <c r="R92" i="8"/>
  <c r="R90" i="8"/>
  <c r="R89" i="8"/>
  <c r="R87" i="8"/>
  <c r="R85" i="8"/>
  <c r="R84" i="8"/>
  <c r="R83" i="8"/>
  <c r="R81" i="8"/>
  <c r="R80" i="8"/>
  <c r="R79" i="8"/>
  <c r="R78" i="8"/>
  <c r="R77" i="8"/>
  <c r="R76" i="8"/>
  <c r="R74" i="8"/>
  <c r="R72" i="8"/>
  <c r="R71" i="8"/>
  <c r="R70" i="8"/>
  <c r="R69" i="8"/>
  <c r="R68" i="8"/>
  <c r="R67" i="8"/>
  <c r="R66" i="8"/>
  <c r="R64" i="8"/>
  <c r="R63" i="8"/>
  <c r="R62" i="8"/>
  <c r="R60" i="8"/>
  <c r="R59" i="8"/>
  <c r="R57" i="8"/>
  <c r="R56" i="8"/>
  <c r="R55" i="8"/>
  <c r="R54" i="8"/>
  <c r="R53" i="8"/>
  <c r="R52" i="8"/>
  <c r="R49" i="8"/>
  <c r="R48" i="8"/>
  <c r="R46" i="8"/>
  <c r="R45" i="8"/>
  <c r="R44" i="8"/>
  <c r="R41" i="8"/>
  <c r="R39" i="8"/>
  <c r="R38" i="8"/>
  <c r="R36" i="8"/>
  <c r="R35" i="8"/>
  <c r="R34" i="8"/>
  <c r="R33" i="8"/>
  <c r="R32" i="8"/>
  <c r="R31" i="8"/>
  <c r="R30" i="8"/>
  <c r="R29" i="8"/>
  <c r="R28" i="8"/>
  <c r="R25" i="8"/>
  <c r="R24" i="8"/>
  <c r="R23" i="8"/>
  <c r="R20" i="8"/>
  <c r="R19" i="8"/>
  <c r="R16" i="8"/>
  <c r="R15" i="8"/>
  <c r="R14" i="8"/>
  <c r="R12" i="8"/>
  <c r="R11" i="8"/>
  <c r="R8" i="8"/>
  <c r="R6" i="8"/>
  <c r="R5" i="8"/>
  <c r="R4" i="8"/>
  <c r="R3" i="8"/>
  <c r="P6" i="2"/>
  <c r="P7" i="2" s="1"/>
  <c r="F11" i="8"/>
  <c r="H11" i="8" s="1"/>
  <c r="F16" i="8"/>
  <c r="H16" i="8" s="1"/>
  <c r="F20" i="8"/>
  <c r="H20" i="8" s="1"/>
  <c r="F25" i="8"/>
  <c r="H25" i="8" s="1"/>
  <c r="F26" i="8"/>
  <c r="H26" i="8" s="1"/>
  <c r="F28" i="8"/>
  <c r="H28" i="8" s="1"/>
  <c r="F30" i="8"/>
  <c r="H30" i="8" s="1"/>
  <c r="F34" i="8"/>
  <c r="H34" i="8"/>
  <c r="F37" i="8"/>
  <c r="H37" i="8"/>
  <c r="F38" i="8"/>
  <c r="H38" i="8"/>
  <c r="F41" i="8"/>
  <c r="H41" i="8"/>
  <c r="F42" i="8"/>
  <c r="H42" i="8"/>
  <c r="BB176" i="3"/>
  <c r="AZ176" i="3"/>
  <c r="BB175" i="3"/>
  <c r="AZ175" i="3"/>
  <c r="BB174" i="3"/>
  <c r="AZ174" i="3"/>
  <c r="BB173" i="3"/>
  <c r="AZ173" i="3"/>
  <c r="BB172" i="3"/>
  <c r="AZ172" i="3"/>
  <c r="BB171" i="3"/>
  <c r="AZ171" i="3"/>
  <c r="BB170" i="3"/>
  <c r="AZ170" i="3"/>
  <c r="BB169" i="3"/>
  <c r="AZ169" i="3"/>
  <c r="BB168" i="3"/>
  <c r="AZ168" i="3"/>
  <c r="BB167" i="3"/>
  <c r="AZ167" i="3"/>
  <c r="BB161" i="3"/>
  <c r="AZ161" i="3"/>
  <c r="BB160" i="3"/>
  <c r="AZ160" i="3"/>
  <c r="BB159" i="3"/>
  <c r="AZ159" i="3"/>
  <c r="BB158" i="3"/>
  <c r="AZ158" i="3"/>
  <c r="BB157" i="3"/>
  <c r="AZ157" i="3"/>
  <c r="BB156" i="3"/>
  <c r="AZ156" i="3"/>
  <c r="BB155" i="3"/>
  <c r="AZ155" i="3"/>
  <c r="BB154" i="3"/>
  <c r="AZ154" i="3"/>
  <c r="BB153" i="3"/>
  <c r="AZ153" i="3"/>
  <c r="BB152" i="3"/>
  <c r="AZ152" i="3"/>
  <c r="BB151" i="3"/>
  <c r="AZ151" i="3"/>
  <c r="BB150" i="3"/>
  <c r="AZ150" i="3"/>
  <c r="BB149" i="3"/>
  <c r="AZ149" i="3"/>
  <c r="BB148" i="3"/>
  <c r="AZ148" i="3"/>
  <c r="BB147" i="3"/>
  <c r="AZ147" i="3"/>
  <c r="BB146" i="3"/>
  <c r="AZ146" i="3"/>
  <c r="BB145" i="3"/>
  <c r="AZ145" i="3"/>
  <c r="BB144" i="3"/>
  <c r="AZ144" i="3"/>
  <c r="BB143" i="3"/>
  <c r="AZ143" i="3"/>
  <c r="BB142" i="3"/>
  <c r="AZ142" i="3"/>
  <c r="BB141" i="3"/>
  <c r="AZ141" i="3"/>
  <c r="BB140" i="3"/>
  <c r="AZ140" i="3"/>
  <c r="BB139" i="3"/>
  <c r="AZ139" i="3"/>
  <c r="BB138" i="3"/>
  <c r="AZ138" i="3"/>
  <c r="BB137" i="3"/>
  <c r="AZ137" i="3"/>
  <c r="BB136" i="3"/>
  <c r="AZ136" i="3"/>
  <c r="BB135" i="3"/>
  <c r="AZ135" i="3"/>
  <c r="BB134" i="3"/>
  <c r="AZ134" i="3"/>
  <c r="BB133" i="3"/>
  <c r="AZ133" i="3"/>
  <c r="BB132" i="3"/>
  <c r="AZ132" i="3"/>
  <c r="BB131" i="3"/>
  <c r="AZ131" i="3"/>
  <c r="BB130" i="3"/>
  <c r="AZ130" i="3"/>
  <c r="BB129" i="3"/>
  <c r="AZ129" i="3"/>
  <c r="BB128" i="3"/>
  <c r="AZ128" i="3"/>
  <c r="BB127" i="3"/>
  <c r="AZ127" i="3"/>
  <c r="BB126" i="3"/>
  <c r="AZ126" i="3"/>
  <c r="BB125" i="3"/>
  <c r="AZ125" i="3"/>
  <c r="BB124" i="3"/>
  <c r="AZ124" i="3"/>
  <c r="BB123" i="3"/>
  <c r="AZ123" i="3"/>
  <c r="BB122" i="3"/>
  <c r="AZ122" i="3"/>
  <c r="BB121" i="3"/>
  <c r="AZ121" i="3"/>
  <c r="BB120" i="3"/>
  <c r="AZ120" i="3"/>
  <c r="BB119" i="3"/>
  <c r="AZ119" i="3"/>
  <c r="BB118" i="3"/>
  <c r="AZ118" i="3"/>
  <c r="BB117" i="3"/>
  <c r="AZ117" i="3"/>
  <c r="BB116" i="3"/>
  <c r="AZ116" i="3"/>
  <c r="BB115" i="3"/>
  <c r="AZ115" i="3"/>
  <c r="BB114" i="3"/>
  <c r="AZ114" i="3"/>
  <c r="BB113" i="3"/>
  <c r="AZ113" i="3"/>
  <c r="BB112" i="3"/>
  <c r="AZ112" i="3"/>
  <c r="BB111" i="3"/>
  <c r="AZ111" i="3"/>
  <c r="BB110" i="3"/>
  <c r="AZ110" i="3"/>
  <c r="BB109" i="3"/>
  <c r="AZ109" i="3"/>
  <c r="BB108" i="3"/>
  <c r="AZ108" i="3"/>
  <c r="BB107" i="3"/>
  <c r="AZ107" i="3"/>
  <c r="BB106" i="3"/>
  <c r="AZ106" i="3"/>
  <c r="BB105" i="3"/>
  <c r="AZ105" i="3"/>
  <c r="BB104" i="3"/>
  <c r="AZ104" i="3"/>
  <c r="BB103" i="3"/>
  <c r="AZ103" i="3"/>
  <c r="BB102" i="3"/>
  <c r="AZ102" i="3"/>
  <c r="BB101" i="3"/>
  <c r="AZ101" i="3"/>
  <c r="BB100" i="3"/>
  <c r="AZ100" i="3"/>
  <c r="BB99" i="3"/>
  <c r="AZ99" i="3"/>
  <c r="BB98" i="3"/>
  <c r="AZ98" i="3"/>
  <c r="BB97" i="3"/>
  <c r="AZ97" i="3"/>
  <c r="BB96" i="3"/>
  <c r="AZ96" i="3"/>
  <c r="BB95" i="3"/>
  <c r="AZ95" i="3"/>
  <c r="BB94" i="3"/>
  <c r="AZ94" i="3"/>
  <c r="BB93" i="3"/>
  <c r="AZ93" i="3"/>
  <c r="BB92" i="3"/>
  <c r="AZ92" i="3"/>
  <c r="BB91" i="3"/>
  <c r="AZ91" i="3"/>
  <c r="BB90" i="3"/>
  <c r="AZ90" i="3"/>
  <c r="BB89" i="3"/>
  <c r="AZ89" i="3"/>
  <c r="BB88" i="3"/>
  <c r="AZ88" i="3"/>
  <c r="BB87" i="3"/>
  <c r="AZ87" i="3"/>
  <c r="BB86" i="3"/>
  <c r="AZ86" i="3"/>
  <c r="BB85" i="3"/>
  <c r="AZ85" i="3"/>
  <c r="BB84" i="3"/>
  <c r="AZ84" i="3"/>
  <c r="BB83" i="3"/>
  <c r="AZ83" i="3"/>
  <c r="BB82" i="3"/>
  <c r="AZ82" i="3"/>
  <c r="BB81" i="3"/>
  <c r="AZ81" i="3"/>
  <c r="BB80" i="3"/>
  <c r="AZ80" i="3"/>
  <c r="BB79" i="3"/>
  <c r="AZ79" i="3"/>
  <c r="BB78" i="3"/>
  <c r="AZ78" i="3"/>
  <c r="BB77" i="3"/>
  <c r="AZ77" i="3"/>
  <c r="BB76" i="3"/>
  <c r="AZ76" i="3"/>
  <c r="BB75" i="3"/>
  <c r="AZ75" i="3"/>
  <c r="BB74" i="3"/>
  <c r="AZ74" i="3"/>
  <c r="BB73" i="3"/>
  <c r="AZ73" i="3"/>
  <c r="BB72" i="3"/>
  <c r="AZ72" i="3"/>
  <c r="BB71" i="3"/>
  <c r="AZ71" i="3"/>
  <c r="BB70" i="3"/>
  <c r="AZ70" i="3"/>
  <c r="BB69" i="3"/>
  <c r="AZ69" i="3"/>
  <c r="BB68" i="3"/>
  <c r="AZ68" i="3"/>
  <c r="BB67" i="3"/>
  <c r="AZ67" i="3"/>
  <c r="AZ66" i="3"/>
  <c r="BB65" i="3"/>
  <c r="AZ65" i="3"/>
  <c r="BB64" i="3"/>
  <c r="AZ64" i="3"/>
  <c r="BB63" i="3"/>
  <c r="AZ63" i="3"/>
  <c r="BB62" i="3"/>
  <c r="AZ62" i="3"/>
  <c r="BB61" i="3"/>
  <c r="AZ61" i="3"/>
  <c r="BB60" i="3"/>
  <c r="AZ60" i="3"/>
  <c r="BB59" i="3"/>
  <c r="AZ59" i="3"/>
  <c r="BB58" i="3"/>
  <c r="AZ58" i="3"/>
  <c r="BB57" i="3"/>
  <c r="AZ57" i="3"/>
  <c r="BB56" i="3"/>
  <c r="AZ56" i="3"/>
  <c r="BB55" i="3"/>
  <c r="AZ55" i="3"/>
  <c r="BB54" i="3"/>
  <c r="AZ54" i="3"/>
  <c r="BB53" i="3"/>
  <c r="AZ53" i="3"/>
  <c r="BB52" i="3"/>
  <c r="AZ52" i="3"/>
  <c r="BB51" i="3"/>
  <c r="AZ51" i="3"/>
  <c r="BB50" i="3"/>
  <c r="AZ50" i="3"/>
  <c r="BB49" i="3"/>
  <c r="AZ49" i="3"/>
  <c r="BB48" i="3"/>
  <c r="AZ48" i="3"/>
  <c r="BB47" i="3"/>
  <c r="AZ47" i="3"/>
  <c r="BB46" i="3"/>
  <c r="AZ46" i="3"/>
  <c r="BB45" i="3"/>
  <c r="AZ45" i="3"/>
  <c r="BB44" i="3"/>
  <c r="AZ44" i="3"/>
  <c r="BB43" i="3"/>
  <c r="AZ43" i="3"/>
  <c r="BB42" i="3"/>
  <c r="AZ42" i="3"/>
  <c r="BB41" i="3"/>
  <c r="AZ41" i="3"/>
  <c r="BB40" i="3"/>
  <c r="AZ40" i="3"/>
  <c r="BB39" i="3"/>
  <c r="AZ39" i="3"/>
  <c r="BB38" i="3"/>
  <c r="AZ38" i="3"/>
  <c r="BB37" i="3"/>
  <c r="AZ37" i="3"/>
  <c r="BB36" i="3"/>
  <c r="AZ36" i="3"/>
  <c r="BB35" i="3"/>
  <c r="AZ35" i="3"/>
  <c r="BB34" i="3"/>
  <c r="AZ34" i="3"/>
  <c r="BB33" i="3"/>
  <c r="AZ33" i="3"/>
  <c r="BB32" i="3"/>
  <c r="AZ32" i="3"/>
  <c r="BB31" i="3"/>
  <c r="AZ31" i="3"/>
  <c r="BB30" i="3"/>
  <c r="AZ30" i="3"/>
  <c r="BB29" i="3"/>
  <c r="AZ29" i="3"/>
  <c r="BB28" i="3"/>
  <c r="AZ28" i="3"/>
  <c r="BB27" i="3"/>
  <c r="AZ27" i="3"/>
  <c r="BB26" i="3"/>
  <c r="AZ26" i="3"/>
  <c r="BB25" i="3"/>
  <c r="AZ25" i="3"/>
  <c r="BB24" i="3"/>
  <c r="AZ24" i="3"/>
  <c r="BB23" i="3"/>
  <c r="AZ23" i="3"/>
  <c r="BB22" i="3"/>
  <c r="AZ22" i="3"/>
  <c r="BB21" i="3"/>
  <c r="AZ21" i="3"/>
  <c r="BB20" i="3"/>
  <c r="AZ20" i="3"/>
  <c r="BB19" i="3"/>
  <c r="AZ19" i="3"/>
  <c r="BB18" i="3"/>
  <c r="AZ18" i="3"/>
  <c r="BB17" i="3"/>
  <c r="AZ17" i="3"/>
  <c r="BB16" i="3"/>
  <c r="AZ16" i="3"/>
  <c r="BB15" i="3"/>
  <c r="AZ15" i="3"/>
  <c r="BB14" i="3"/>
  <c r="AZ14" i="3"/>
  <c r="BB13" i="3"/>
  <c r="AZ13" i="3"/>
  <c r="BB12" i="3"/>
  <c r="AZ12" i="3"/>
  <c r="BB11" i="3"/>
  <c r="AZ11" i="3"/>
  <c r="BB10" i="3"/>
  <c r="AZ10" i="3"/>
  <c r="BB9" i="3"/>
  <c r="AZ9" i="3"/>
  <c r="BB8" i="3"/>
  <c r="AZ8" i="3"/>
  <c r="BB7" i="3"/>
  <c r="AZ7" i="3"/>
  <c r="BB6" i="3"/>
  <c r="AZ6" i="3"/>
  <c r="BB5" i="3"/>
  <c r="AZ5" i="3"/>
  <c r="AZ4" i="3"/>
  <c r="E176" i="3"/>
  <c r="BA176" i="3"/>
  <c r="E175" i="3"/>
  <c r="BA175" i="3"/>
  <c r="E174" i="3"/>
  <c r="BA174" i="3"/>
  <c r="E168" i="3"/>
  <c r="BA168" i="3"/>
  <c r="E160" i="3"/>
  <c r="BA160" i="3"/>
  <c r="E159" i="3"/>
  <c r="BA159" i="3"/>
  <c r="E158" i="3"/>
  <c r="BA158" i="3"/>
  <c r="E157" i="3"/>
  <c r="BA157" i="3"/>
  <c r="E156" i="3"/>
  <c r="BA156" i="3"/>
  <c r="E154" i="3"/>
  <c r="BA154" i="3"/>
  <c r="E152" i="3"/>
  <c r="BA152" i="3"/>
  <c r="E150" i="3"/>
  <c r="BA150" i="3"/>
  <c r="E148" i="3"/>
  <c r="BA148" i="3"/>
  <c r="E147" i="3"/>
  <c r="BA147" i="3"/>
  <c r="E146" i="3"/>
  <c r="BA146" i="3"/>
  <c r="E145" i="3"/>
  <c r="BA145" i="3"/>
  <c r="E144" i="3"/>
  <c r="BA144" i="3"/>
  <c r="E143" i="3"/>
  <c r="BA143" i="3"/>
  <c r="E142" i="3"/>
  <c r="BA142" i="3"/>
  <c r="E141" i="3"/>
  <c r="BA141" i="3"/>
  <c r="E140" i="3"/>
  <c r="BA140" i="3"/>
  <c r="E139" i="3"/>
  <c r="BA139" i="3"/>
  <c r="E138" i="3"/>
  <c r="BA138" i="3"/>
  <c r="E137" i="3"/>
  <c r="BA137" i="3"/>
  <c r="E132" i="3"/>
  <c r="BA132" i="3"/>
  <c r="E173" i="3"/>
  <c r="BA173" i="3"/>
  <c r="E172" i="3"/>
  <c r="BA172" i="3"/>
  <c r="E171" i="3"/>
  <c r="BA171" i="3"/>
  <c r="E170" i="3"/>
  <c r="BA170" i="3"/>
  <c r="E169" i="3"/>
  <c r="BA169" i="3"/>
  <c r="E167" i="3"/>
  <c r="BA167" i="3"/>
  <c r="E161" i="3"/>
  <c r="BA161" i="3"/>
  <c r="E155" i="3"/>
  <c r="BA155" i="3"/>
  <c r="E153" i="3"/>
  <c r="BA153" i="3"/>
  <c r="E151" i="3"/>
  <c r="BA151" i="3"/>
  <c r="E149" i="3"/>
  <c r="BA149" i="3"/>
  <c r="E136" i="3"/>
  <c r="BA136" i="3"/>
  <c r="E135" i="3"/>
  <c r="BA135" i="3"/>
  <c r="E134" i="3"/>
  <c r="BA134" i="3"/>
  <c r="E133" i="3"/>
  <c r="BA133" i="3"/>
  <c r="E131" i="3"/>
  <c r="BA131" i="3"/>
  <c r="E130" i="3"/>
  <c r="BA130" i="3"/>
  <c r="E129" i="3"/>
  <c r="BA129" i="3"/>
  <c r="E128" i="3"/>
  <c r="BA128" i="3"/>
  <c r="E127" i="3"/>
  <c r="BA127" i="3"/>
  <c r="E126" i="3"/>
  <c r="BA126" i="3"/>
  <c r="E125" i="3"/>
  <c r="BA125" i="3"/>
  <c r="E124" i="3"/>
  <c r="BA124" i="3"/>
  <c r="E123" i="3"/>
  <c r="BA123" i="3"/>
  <c r="E122" i="3"/>
  <c r="BA122" i="3"/>
  <c r="E121" i="3"/>
  <c r="BA121" i="3"/>
  <c r="E120" i="3"/>
  <c r="BA120" i="3"/>
  <c r="E119" i="3"/>
  <c r="BA119" i="3"/>
  <c r="E118" i="3"/>
  <c r="BA118" i="3"/>
  <c r="E117" i="3"/>
  <c r="BA117" i="3"/>
  <c r="E116" i="3"/>
  <c r="BA116" i="3"/>
  <c r="E115" i="3"/>
  <c r="BA115" i="3"/>
  <c r="E114" i="3"/>
  <c r="BA114" i="3"/>
  <c r="E113" i="3"/>
  <c r="BA113" i="3"/>
  <c r="E112" i="3"/>
  <c r="BA112" i="3"/>
  <c r="E111" i="3"/>
  <c r="BA111" i="3"/>
  <c r="E110" i="3"/>
  <c r="BA110" i="3"/>
  <c r="E109" i="3"/>
  <c r="BA109" i="3"/>
  <c r="E108" i="3"/>
  <c r="BA108" i="3"/>
  <c r="E107" i="3"/>
  <c r="BA107" i="3"/>
  <c r="E106" i="3"/>
  <c r="BA106" i="3"/>
  <c r="E105" i="3"/>
  <c r="BA105" i="3"/>
  <c r="E104" i="3"/>
  <c r="BA104" i="3"/>
  <c r="E103" i="3"/>
  <c r="BA103" i="3"/>
  <c r="E102" i="3"/>
  <c r="BA102" i="3"/>
  <c r="E101" i="3"/>
  <c r="BA101" i="3"/>
  <c r="E100" i="3"/>
  <c r="BA100" i="3"/>
  <c r="E99" i="3"/>
  <c r="BA99" i="3"/>
  <c r="E98" i="3"/>
  <c r="BA98" i="3"/>
  <c r="E97" i="3"/>
  <c r="BA97" i="3"/>
  <c r="E96" i="3"/>
  <c r="BA96" i="3"/>
  <c r="E95" i="3"/>
  <c r="BA95" i="3"/>
  <c r="E94" i="3"/>
  <c r="BA94" i="3"/>
  <c r="E93" i="3"/>
  <c r="BA93" i="3"/>
  <c r="E92" i="3"/>
  <c r="BA92" i="3"/>
  <c r="E91" i="3"/>
  <c r="BA91" i="3"/>
  <c r="E90" i="3"/>
  <c r="BA90" i="3"/>
  <c r="E89" i="3"/>
  <c r="BA89" i="3"/>
  <c r="E88" i="3"/>
  <c r="BA88" i="3"/>
  <c r="E87" i="3"/>
  <c r="BA87" i="3"/>
  <c r="E86" i="3"/>
  <c r="BA86" i="3"/>
  <c r="E85" i="3"/>
  <c r="BA85" i="3"/>
  <c r="E84" i="3"/>
  <c r="BA84" i="3"/>
  <c r="E83" i="3"/>
  <c r="BA83" i="3"/>
  <c r="E82" i="3"/>
  <c r="BA82" i="3"/>
  <c r="E81" i="3"/>
  <c r="BA81" i="3"/>
  <c r="E80" i="3"/>
  <c r="BA80" i="3"/>
  <c r="E79" i="3"/>
  <c r="BA79" i="3"/>
  <c r="E78" i="3"/>
  <c r="BA78" i="3"/>
  <c r="E77" i="3"/>
  <c r="BA77" i="3"/>
  <c r="E76" i="3"/>
  <c r="BA76" i="3"/>
  <c r="E75" i="3"/>
  <c r="BA75" i="3"/>
  <c r="E74" i="3"/>
  <c r="BA74" i="3"/>
  <c r="E73" i="3"/>
  <c r="BA73" i="3"/>
  <c r="E72" i="3"/>
  <c r="BA72" i="3"/>
  <c r="E71" i="3"/>
  <c r="BA71" i="3"/>
  <c r="E70" i="3"/>
  <c r="BA70" i="3"/>
  <c r="E69" i="3"/>
  <c r="BA69" i="3"/>
  <c r="E68" i="3"/>
  <c r="BA68" i="3"/>
  <c r="E67" i="3"/>
  <c r="BA67" i="3"/>
  <c r="E66" i="3"/>
  <c r="BA66" i="3"/>
  <c r="E65" i="3"/>
  <c r="BA65" i="3"/>
  <c r="E64" i="3"/>
  <c r="BA64" i="3"/>
  <c r="E63" i="3"/>
  <c r="BA63" i="3"/>
  <c r="E62" i="3"/>
  <c r="BA62" i="3"/>
  <c r="E61" i="3"/>
  <c r="BA61" i="3"/>
  <c r="E60" i="3"/>
  <c r="BA60" i="3"/>
  <c r="E59" i="3"/>
  <c r="BA59" i="3"/>
  <c r="E58" i="3"/>
  <c r="BA58" i="3"/>
  <c r="E57" i="3"/>
  <c r="BA57" i="3"/>
  <c r="E56" i="3"/>
  <c r="E55" i="3"/>
  <c r="E54" i="3"/>
  <c r="E53" i="3"/>
  <c r="BA53" i="3"/>
  <c r="E52" i="3"/>
  <c r="E51" i="3"/>
  <c r="E50" i="3"/>
  <c r="E49" i="3"/>
  <c r="BA49" i="3"/>
  <c r="E48" i="3"/>
  <c r="E47" i="3"/>
  <c r="E46" i="3"/>
  <c r="E45" i="3"/>
  <c r="BA45" i="3"/>
  <c r="E44" i="3"/>
  <c r="E43" i="3"/>
  <c r="E42" i="3"/>
  <c r="E41" i="3"/>
  <c r="BA41" i="3"/>
  <c r="E40" i="3"/>
  <c r="E39" i="3"/>
  <c r="E38" i="3"/>
  <c r="E37" i="3"/>
  <c r="BA37" i="3"/>
  <c r="E36" i="3"/>
  <c r="E35" i="3"/>
  <c r="E34" i="3"/>
  <c r="E33" i="3"/>
  <c r="BA33" i="3"/>
  <c r="E32" i="3"/>
  <c r="E31" i="3"/>
  <c r="E30" i="3"/>
  <c r="E29" i="3"/>
  <c r="BA29" i="3"/>
  <c r="E28" i="3"/>
  <c r="E27" i="3"/>
  <c r="E26" i="3"/>
  <c r="E25" i="3"/>
  <c r="BA25" i="3"/>
  <c r="E24" i="3"/>
  <c r="E23" i="3"/>
  <c r="E22" i="3"/>
  <c r="E21" i="3"/>
  <c r="BA21" i="3"/>
  <c r="E20" i="3"/>
  <c r="E19" i="3"/>
  <c r="E18" i="3"/>
  <c r="E17" i="3"/>
  <c r="BA17" i="3"/>
  <c r="E16" i="3"/>
  <c r="E15" i="3"/>
  <c r="E14" i="3"/>
  <c r="E13" i="3"/>
  <c r="BA13" i="3"/>
  <c r="E12" i="3"/>
  <c r="E11" i="3"/>
  <c r="E10" i="3"/>
  <c r="E9" i="3"/>
  <c r="BA9" i="3"/>
  <c r="E8" i="3"/>
  <c r="E7" i="3"/>
  <c r="E6" i="3"/>
  <c r="E5" i="3"/>
  <c r="BA5" i="3"/>
  <c r="E4" i="3"/>
  <c r="AY15" i="3"/>
  <c r="BA15" i="3"/>
  <c r="AY23" i="3"/>
  <c r="BA23" i="3"/>
  <c r="AY27" i="3"/>
  <c r="BA27" i="3"/>
  <c r="AY35" i="3"/>
  <c r="BA35" i="3"/>
  <c r="AY43" i="3"/>
  <c r="BA43" i="3"/>
  <c r="AY47" i="3"/>
  <c r="BA47" i="3"/>
  <c r="AY51" i="3"/>
  <c r="BA51" i="3"/>
  <c r="AY55" i="3"/>
  <c r="BA55" i="3"/>
  <c r="AX8" i="3"/>
  <c r="BA8" i="3"/>
  <c r="AX16" i="3"/>
  <c r="BA16" i="3"/>
  <c r="AX24" i="3"/>
  <c r="BA24" i="3"/>
  <c r="AX32" i="3"/>
  <c r="BA32" i="3"/>
  <c r="AX36" i="3"/>
  <c r="BA36" i="3"/>
  <c r="AX44" i="3"/>
  <c r="BA44" i="3"/>
  <c r="AX52" i="3"/>
  <c r="BA52" i="3"/>
  <c r="AX56" i="3"/>
  <c r="BA56" i="3"/>
  <c r="AY7" i="3"/>
  <c r="BA7" i="3"/>
  <c r="AY11" i="3"/>
  <c r="BA11" i="3"/>
  <c r="AY19" i="3"/>
  <c r="BA19" i="3"/>
  <c r="AY31" i="3"/>
  <c r="BA31" i="3"/>
  <c r="AY39" i="3"/>
  <c r="BA39" i="3"/>
  <c r="AX4" i="3"/>
  <c r="BA4" i="3"/>
  <c r="AX12" i="3"/>
  <c r="BA12" i="3"/>
  <c r="AX20" i="3"/>
  <c r="BA20" i="3"/>
  <c r="AX28" i="3"/>
  <c r="BA28" i="3"/>
  <c r="AX40" i="3"/>
  <c r="BA40" i="3"/>
  <c r="AX48" i="3"/>
  <c r="BA48" i="3"/>
  <c r="AY6" i="3"/>
  <c r="BA6" i="3"/>
  <c r="AY10" i="3"/>
  <c r="BA10" i="3"/>
  <c r="AY14" i="3"/>
  <c r="BA14" i="3"/>
  <c r="AY18" i="3"/>
  <c r="BA18" i="3"/>
  <c r="AY22" i="3"/>
  <c r="BA22" i="3"/>
  <c r="AY26" i="3"/>
  <c r="BA26" i="3"/>
  <c r="AY30" i="3"/>
  <c r="BA30" i="3"/>
  <c r="AY34" i="3"/>
  <c r="BA34" i="3"/>
  <c r="AY38" i="3"/>
  <c r="BA38" i="3"/>
  <c r="AY42" i="3"/>
  <c r="BA42" i="3"/>
  <c r="AY46" i="3"/>
  <c r="BA46" i="3"/>
  <c r="AY50" i="3"/>
  <c r="BA50" i="3"/>
  <c r="AY54" i="3"/>
  <c r="BA54" i="3"/>
  <c r="AY61" i="3"/>
  <c r="AX61" i="3"/>
  <c r="AY65" i="3"/>
  <c r="AX65" i="3"/>
  <c r="AY69" i="3"/>
  <c r="AX69" i="3"/>
  <c r="AY73" i="3"/>
  <c r="AX73" i="3"/>
  <c r="AY77" i="3"/>
  <c r="AX77" i="3"/>
  <c r="AY81" i="3"/>
  <c r="AX81" i="3"/>
  <c r="AY85" i="3"/>
  <c r="AX85" i="3"/>
  <c r="AY89" i="3"/>
  <c r="AX89" i="3"/>
  <c r="AY93" i="3"/>
  <c r="AX93" i="3"/>
  <c r="AY97" i="3"/>
  <c r="AX97" i="3"/>
  <c r="AY101" i="3"/>
  <c r="AX101" i="3"/>
  <c r="AY105" i="3"/>
  <c r="AX105" i="3"/>
  <c r="AY109" i="3"/>
  <c r="AX109" i="3"/>
  <c r="AY113" i="3"/>
  <c r="AX113" i="3"/>
  <c r="AY117" i="3"/>
  <c r="AX117" i="3"/>
  <c r="AY121" i="3"/>
  <c r="AX121" i="3"/>
  <c r="AY125" i="3"/>
  <c r="AX125" i="3"/>
  <c r="AY129" i="3"/>
  <c r="AX129" i="3"/>
  <c r="AY134" i="3"/>
  <c r="AX134" i="3"/>
  <c r="AY151" i="3"/>
  <c r="AX151" i="3"/>
  <c r="AY167" i="3"/>
  <c r="AX167" i="3"/>
  <c r="AY172" i="3"/>
  <c r="AX172" i="3"/>
  <c r="AY138" i="3"/>
  <c r="AX138" i="3"/>
  <c r="AY142" i="3"/>
  <c r="AX142" i="3"/>
  <c r="AY146" i="3"/>
  <c r="AX146" i="3"/>
  <c r="AX152" i="3"/>
  <c r="AY152" i="3"/>
  <c r="AY158" i="3"/>
  <c r="AX158" i="3"/>
  <c r="AY174" i="3"/>
  <c r="AX174" i="3"/>
  <c r="AY4" i="3"/>
  <c r="AX5" i="3"/>
  <c r="AY8" i="3"/>
  <c r="AX9" i="3"/>
  <c r="AY12" i="3"/>
  <c r="AX13" i="3"/>
  <c r="AY16" i="3"/>
  <c r="AX17" i="3"/>
  <c r="AY20" i="3"/>
  <c r="AX21" i="3"/>
  <c r="AY24" i="3"/>
  <c r="AX25" i="3"/>
  <c r="AY28" i="3"/>
  <c r="AX29" i="3"/>
  <c r="AY32" i="3"/>
  <c r="AX33" i="3"/>
  <c r="AY36" i="3"/>
  <c r="AX37" i="3"/>
  <c r="AY40" i="3"/>
  <c r="AX41" i="3"/>
  <c r="AY44" i="3"/>
  <c r="AX45" i="3"/>
  <c r="AY48" i="3"/>
  <c r="AX49" i="3"/>
  <c r="AY52" i="3"/>
  <c r="AX53" i="3"/>
  <c r="AY56" i="3"/>
  <c r="AX57" i="3"/>
  <c r="AY62" i="3"/>
  <c r="AX62" i="3"/>
  <c r="AY66" i="3"/>
  <c r="AX66" i="3"/>
  <c r="AY70" i="3"/>
  <c r="AX70" i="3"/>
  <c r="AY74" i="3"/>
  <c r="AX74" i="3"/>
  <c r="AY78" i="3"/>
  <c r="AX78" i="3"/>
  <c r="AY82" i="3"/>
  <c r="AX82" i="3"/>
  <c r="AY86" i="3"/>
  <c r="AX86" i="3"/>
  <c r="AY90" i="3"/>
  <c r="AX90" i="3"/>
  <c r="AY94" i="3"/>
  <c r="AX94" i="3"/>
  <c r="AY98" i="3"/>
  <c r="AX98" i="3"/>
  <c r="AY102" i="3"/>
  <c r="AX102" i="3"/>
  <c r="AY106" i="3"/>
  <c r="AX106" i="3"/>
  <c r="AY110" i="3"/>
  <c r="AX110" i="3"/>
  <c r="AY114" i="3"/>
  <c r="AX114" i="3"/>
  <c r="AY118" i="3"/>
  <c r="AX118" i="3"/>
  <c r="AY122" i="3"/>
  <c r="AX122" i="3"/>
  <c r="AY126" i="3"/>
  <c r="AX126" i="3"/>
  <c r="AY130" i="3"/>
  <c r="AX130" i="3"/>
  <c r="AY135" i="3"/>
  <c r="AX135" i="3"/>
  <c r="AY153" i="3"/>
  <c r="AX153" i="3"/>
  <c r="AX169" i="3"/>
  <c r="AY169" i="3"/>
  <c r="AX173" i="3"/>
  <c r="AY173" i="3"/>
  <c r="AY139" i="3"/>
  <c r="AX139" i="3"/>
  <c r="AY143" i="3"/>
  <c r="AX143" i="3"/>
  <c r="AY147" i="3"/>
  <c r="AX147" i="3"/>
  <c r="AY154" i="3"/>
  <c r="AX154" i="3"/>
  <c r="AY159" i="3"/>
  <c r="AX159" i="3"/>
  <c r="AY175" i="3"/>
  <c r="AX175" i="3"/>
  <c r="AY5" i="3"/>
  <c r="AX6" i="3"/>
  <c r="AY9" i="3"/>
  <c r="AX10" i="3"/>
  <c r="AY13" i="3"/>
  <c r="AX14" i="3"/>
  <c r="AY17" i="3"/>
  <c r="AX18" i="3"/>
  <c r="AY21" i="3"/>
  <c r="AX22" i="3"/>
  <c r="AY25" i="3"/>
  <c r="AX26" i="3"/>
  <c r="AY29" i="3"/>
  <c r="AX30" i="3"/>
  <c r="AY33" i="3"/>
  <c r="AX34" i="3"/>
  <c r="AY37" i="3"/>
  <c r="AX38" i="3"/>
  <c r="AY41" i="3"/>
  <c r="AX42" i="3"/>
  <c r="AY45" i="3"/>
  <c r="AX46" i="3"/>
  <c r="AY49" i="3"/>
  <c r="AX50" i="3"/>
  <c r="AY53" i="3"/>
  <c r="AX54" i="3"/>
  <c r="AY57" i="3"/>
  <c r="AX58" i="3"/>
  <c r="AY59" i="3"/>
  <c r="AX59" i="3"/>
  <c r="AY63" i="3"/>
  <c r="AX63" i="3"/>
  <c r="AY67" i="3"/>
  <c r="AX67" i="3"/>
  <c r="AY71" i="3"/>
  <c r="AX71" i="3"/>
  <c r="AY75" i="3"/>
  <c r="AX75" i="3"/>
  <c r="AY79" i="3"/>
  <c r="AX79" i="3"/>
  <c r="AY83" i="3"/>
  <c r="AX83" i="3"/>
  <c r="AY87" i="3"/>
  <c r="AX87" i="3"/>
  <c r="AY91" i="3"/>
  <c r="AX91" i="3"/>
  <c r="AY95" i="3"/>
  <c r="AX95" i="3"/>
  <c r="AY99" i="3"/>
  <c r="AX99" i="3"/>
  <c r="AY103" i="3"/>
  <c r="AX103" i="3"/>
  <c r="AY107" i="3"/>
  <c r="AX107" i="3"/>
  <c r="AY111" i="3"/>
  <c r="AX111" i="3"/>
  <c r="AY115" i="3"/>
  <c r="AX115" i="3"/>
  <c r="AY119" i="3"/>
  <c r="AX119" i="3"/>
  <c r="AY123" i="3"/>
  <c r="AX123" i="3"/>
  <c r="AY127" i="3"/>
  <c r="AX127" i="3"/>
  <c r="AY131" i="3"/>
  <c r="AX131" i="3"/>
  <c r="AX136" i="3"/>
  <c r="AY136" i="3"/>
  <c r="AY155" i="3"/>
  <c r="AX155" i="3"/>
  <c r="AY170" i="3"/>
  <c r="AX170" i="3"/>
  <c r="AX132" i="3"/>
  <c r="AY132" i="3"/>
  <c r="AX140" i="3"/>
  <c r="AY140" i="3"/>
  <c r="AX144" i="3"/>
  <c r="AY144" i="3"/>
  <c r="AX148" i="3"/>
  <c r="AY148" i="3"/>
  <c r="AX156" i="3"/>
  <c r="AY156" i="3"/>
  <c r="AX160" i="3"/>
  <c r="AY160" i="3"/>
  <c r="AY176" i="3"/>
  <c r="AX176" i="3"/>
  <c r="AX7" i="3"/>
  <c r="AX11" i="3"/>
  <c r="AX15" i="3"/>
  <c r="AX19" i="3"/>
  <c r="AX23" i="3"/>
  <c r="AX27" i="3"/>
  <c r="AX31" i="3"/>
  <c r="AX35" i="3"/>
  <c r="AX39" i="3"/>
  <c r="AX43" i="3"/>
  <c r="AX47" i="3"/>
  <c r="AX51" i="3"/>
  <c r="AX55" i="3"/>
  <c r="AY58" i="3"/>
  <c r="AX60" i="3"/>
  <c r="AY60" i="3"/>
  <c r="AX64" i="3"/>
  <c r="AY64" i="3"/>
  <c r="AX68" i="3"/>
  <c r="AY68" i="3"/>
  <c r="AX72" i="3"/>
  <c r="AY72" i="3"/>
  <c r="AX76" i="3"/>
  <c r="AY76" i="3"/>
  <c r="AX80" i="3"/>
  <c r="AY80" i="3"/>
  <c r="AX84" i="3"/>
  <c r="AY84" i="3"/>
  <c r="AX88" i="3"/>
  <c r="AY88" i="3"/>
  <c r="AX92" i="3"/>
  <c r="AY92" i="3"/>
  <c r="AX96" i="3"/>
  <c r="AY96" i="3"/>
  <c r="AX100" i="3"/>
  <c r="AY100" i="3"/>
  <c r="AX104" i="3"/>
  <c r="AY104" i="3"/>
  <c r="AX108" i="3"/>
  <c r="AY108" i="3"/>
  <c r="AX112" i="3"/>
  <c r="AY112" i="3"/>
  <c r="AX116" i="3"/>
  <c r="AY116" i="3"/>
  <c r="AX120" i="3"/>
  <c r="AY120" i="3"/>
  <c r="AX124" i="3"/>
  <c r="AY124" i="3"/>
  <c r="AX128" i="3"/>
  <c r="AY128" i="3"/>
  <c r="AY133" i="3"/>
  <c r="AX133" i="3"/>
  <c r="AY149" i="3"/>
  <c r="AX149" i="3"/>
  <c r="AY161" i="3"/>
  <c r="AX161" i="3"/>
  <c r="AY171" i="3"/>
  <c r="AX171" i="3"/>
  <c r="AY137" i="3"/>
  <c r="AX137" i="3"/>
  <c r="AY141" i="3"/>
  <c r="AX141" i="3"/>
  <c r="AY145" i="3"/>
  <c r="AX145" i="3"/>
  <c r="AY150" i="3"/>
  <c r="AX150" i="3"/>
  <c r="AY157" i="3"/>
  <c r="AX157" i="3"/>
  <c r="AY168" i="3"/>
  <c r="AX168" i="3"/>
  <c r="R177" i="5"/>
  <c r="X1" i="4"/>
  <c r="X161" i="4" s="1"/>
  <c r="D7" i="2"/>
  <c r="D4" i="2"/>
  <c r="G4" i="2"/>
  <c r="F178" i="3"/>
  <c r="E178" i="3"/>
  <c r="BJ4" i="3"/>
  <c r="BI4" i="3"/>
  <c r="F2" i="8"/>
  <c r="H2" i="8"/>
  <c r="AZ178" i="3"/>
  <c r="BB178" i="3"/>
  <c r="F5" i="8"/>
  <c r="H5" i="8"/>
  <c r="F9" i="8"/>
  <c r="H9" i="8"/>
  <c r="F13" i="8"/>
  <c r="H13" i="8"/>
  <c r="F17" i="8"/>
  <c r="H17" i="8"/>
  <c r="F21" i="8"/>
  <c r="H21" i="8" s="1"/>
  <c r="F46" i="8"/>
  <c r="H46" i="8"/>
  <c r="F4" i="8"/>
  <c r="H4" i="8" s="1"/>
  <c r="F8" i="8"/>
  <c r="H8" i="8"/>
  <c r="F33" i="8"/>
  <c r="H33" i="8" s="1"/>
  <c r="F6" i="8"/>
  <c r="H6" i="8"/>
  <c r="F10" i="8"/>
  <c r="H10" i="8" s="1"/>
  <c r="F14" i="8"/>
  <c r="H14" i="8"/>
  <c r="F18" i="8"/>
  <c r="H18" i="8" s="1"/>
  <c r="F22" i="8"/>
  <c r="H22" i="8"/>
  <c r="F31" i="8"/>
  <c r="H31" i="8" s="1"/>
  <c r="F35" i="8"/>
  <c r="H35" i="8"/>
  <c r="F39" i="8"/>
  <c r="H39" i="8" s="1"/>
  <c r="F43" i="8"/>
  <c r="H43" i="8"/>
  <c r="F7" i="8"/>
  <c r="H7" i="8" s="1"/>
  <c r="F15" i="8"/>
  <c r="H15" i="8"/>
  <c r="F19" i="8"/>
  <c r="H19" i="8" s="1"/>
  <c r="F23" i="8"/>
  <c r="H23" i="8"/>
  <c r="F27" i="8"/>
  <c r="H27" i="8" s="1"/>
  <c r="F32" i="8"/>
  <c r="H32" i="8"/>
  <c r="F36" i="8"/>
  <c r="H36" i="8" s="1"/>
  <c r="F40" i="8"/>
  <c r="H40" i="8"/>
  <c r="F44" i="8"/>
  <c r="H44" i="8" s="1"/>
  <c r="F12" i="8"/>
  <c r="H12" i="8"/>
  <c r="F24" i="8"/>
  <c r="H24" i="8" s="1"/>
  <c r="F45" i="8"/>
  <c r="H45" i="8"/>
  <c r="F3" i="8"/>
  <c r="H3" i="8" s="1"/>
  <c r="BA178" i="3"/>
  <c r="AY178" i="3"/>
  <c r="AX178" i="3"/>
  <c r="AC10" i="5"/>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A13" i="6"/>
  <c r="AA12" i="6"/>
  <c r="AA11" i="6"/>
  <c r="AA25" i="6"/>
  <c r="AF5" i="6"/>
  <c r="C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5" i="6"/>
  <c r="C166" i="6"/>
  <c r="C167" i="6"/>
  <c r="C168" i="6"/>
  <c r="C169" i="6"/>
  <c r="C170" i="6"/>
  <c r="C171" i="6"/>
  <c r="C172" i="6"/>
  <c r="C173" i="6"/>
  <c r="C174" i="6"/>
  <c r="B1" i="6"/>
  <c r="C1" i="6"/>
  <c r="A1" i="6"/>
  <c r="AF6" i="6"/>
  <c r="AF11" i="6"/>
  <c r="AF8" i="6"/>
  <c r="AF7" i="6"/>
  <c r="F4" i="4"/>
  <c r="AB4" i="4" s="1"/>
  <c r="F6" i="4"/>
  <c r="AB6" i="4" s="1"/>
  <c r="F8" i="4"/>
  <c r="AB8" i="4" s="1"/>
  <c r="F10" i="4"/>
  <c r="AB10" i="4" s="1"/>
  <c r="F12" i="4"/>
  <c r="AB12" i="4" s="1"/>
  <c r="F14" i="4"/>
  <c r="AB14" i="4" s="1"/>
  <c r="F16" i="4"/>
  <c r="AB16" i="4" s="1"/>
  <c r="F18" i="4"/>
  <c r="AB18" i="4" s="1"/>
  <c r="F20" i="4"/>
  <c r="AB20" i="4" s="1"/>
  <c r="F22" i="4"/>
  <c r="AB22" i="4" s="1"/>
  <c r="F24" i="4"/>
  <c r="AB24" i="4" s="1"/>
  <c r="F26" i="4"/>
  <c r="AB26" i="4" s="1"/>
  <c r="F28" i="4"/>
  <c r="AB28" i="4" s="1"/>
  <c r="F30" i="4"/>
  <c r="AB30" i="4" s="1"/>
  <c r="F32" i="4"/>
  <c r="AB32" i="4" s="1"/>
  <c r="F34" i="4"/>
  <c r="AB34" i="4" s="1"/>
  <c r="F36" i="4"/>
  <c r="AB36" i="4" s="1"/>
  <c r="F38" i="4"/>
  <c r="AB38" i="4" s="1"/>
  <c r="F40" i="4"/>
  <c r="AB40" i="4" s="1"/>
  <c r="F42" i="4"/>
  <c r="AB42" i="4" s="1"/>
  <c r="F44" i="4"/>
  <c r="AB44" i="4" s="1"/>
  <c r="F46" i="4"/>
  <c r="AB46" i="4" s="1"/>
  <c r="F48" i="4"/>
  <c r="AB48" i="4" s="1"/>
  <c r="F50" i="4"/>
  <c r="AB50" i="4" s="1"/>
  <c r="F52" i="4"/>
  <c r="AB52" i="4" s="1"/>
  <c r="F54" i="4"/>
  <c r="AB54" i="4" s="1"/>
  <c r="F56" i="4"/>
  <c r="AB56" i="4" s="1"/>
  <c r="F58" i="4"/>
  <c r="AB58" i="4" s="1"/>
  <c r="F60" i="4"/>
  <c r="AB60" i="4" s="1"/>
  <c r="F62" i="4"/>
  <c r="AB62" i="4" s="1"/>
  <c r="F64" i="4"/>
  <c r="AB64" i="4" s="1"/>
  <c r="F66" i="4"/>
  <c r="AB66" i="4" s="1"/>
  <c r="F68" i="4"/>
  <c r="AB68" i="4" s="1"/>
  <c r="F70" i="4"/>
  <c r="AB70" i="4" s="1"/>
  <c r="F72" i="4"/>
  <c r="AB72" i="4" s="1"/>
  <c r="F74" i="4"/>
  <c r="AB74" i="4" s="1"/>
  <c r="F76" i="4"/>
  <c r="AB76" i="4" s="1"/>
  <c r="F78" i="4"/>
  <c r="AB78" i="4" s="1"/>
  <c r="F80" i="4"/>
  <c r="AB80" i="4" s="1"/>
  <c r="F82" i="4"/>
  <c r="AB82" i="4" s="1"/>
  <c r="F84" i="4"/>
  <c r="AB84" i="4" s="1"/>
  <c r="F86" i="4"/>
  <c r="AB86" i="4" s="1"/>
  <c r="F88" i="4"/>
  <c r="AB88" i="4" s="1"/>
  <c r="F90" i="4"/>
  <c r="AB90" i="4" s="1"/>
  <c r="F92" i="4"/>
  <c r="AB92" i="4" s="1"/>
  <c r="F94" i="4"/>
  <c r="AB94" i="4"/>
  <c r="F96" i="4"/>
  <c r="AB96" i="4" s="1"/>
  <c r="F98" i="4"/>
  <c r="AB98" i="4" s="1"/>
  <c r="F100" i="4"/>
  <c r="AB100" i="4" s="1"/>
  <c r="F102" i="4"/>
  <c r="AB102" i="4" s="1"/>
  <c r="F104" i="4"/>
  <c r="AB104" i="4" s="1"/>
  <c r="F106" i="4"/>
  <c r="AB106" i="4" s="1"/>
  <c r="F108" i="4"/>
  <c r="AB108" i="4" s="1"/>
  <c r="F110" i="4"/>
  <c r="AB110" i="4" s="1"/>
  <c r="F112" i="4"/>
  <c r="AB112" i="4" s="1"/>
  <c r="F114" i="4"/>
  <c r="AB114" i="4" s="1"/>
  <c r="F116" i="4"/>
  <c r="AB116" i="4" s="1"/>
  <c r="F118" i="4"/>
  <c r="AB118" i="4" s="1"/>
  <c r="F120" i="4"/>
  <c r="AB120" i="4" s="1"/>
  <c r="F122" i="4"/>
  <c r="AB122" i="4" s="1"/>
  <c r="F124" i="4"/>
  <c r="AB124" i="4" s="1"/>
  <c r="F126" i="4"/>
  <c r="AB126" i="4" s="1"/>
  <c r="F128" i="4"/>
  <c r="AB128" i="4" s="1"/>
  <c r="F130" i="4"/>
  <c r="AB130" i="4" s="1"/>
  <c r="F132" i="4"/>
  <c r="AB132" i="4" s="1"/>
  <c r="F134" i="4"/>
  <c r="AB134" i="4" s="1"/>
  <c r="F136" i="4"/>
  <c r="AB136" i="4" s="1"/>
  <c r="F138" i="4"/>
  <c r="AB138" i="4" s="1"/>
  <c r="F140" i="4"/>
  <c r="AB140" i="4" s="1"/>
  <c r="F142" i="4"/>
  <c r="AB142" i="4" s="1"/>
  <c r="F144" i="4"/>
  <c r="AB144" i="4" s="1"/>
  <c r="F146" i="4"/>
  <c r="AB146" i="4" s="1"/>
  <c r="F148" i="4"/>
  <c r="AB148" i="4" s="1"/>
  <c r="F150" i="4"/>
  <c r="AB150" i="4" s="1"/>
  <c r="F152" i="4"/>
  <c r="AB152" i="4" s="1"/>
  <c r="F154" i="4"/>
  <c r="AB154" i="4" s="1"/>
  <c r="F156" i="4"/>
  <c r="AB156" i="4" s="1"/>
  <c r="F158" i="4"/>
  <c r="AB158" i="4" s="1"/>
  <c r="F160" i="4"/>
  <c r="AB160" i="4" s="1"/>
  <c r="F167" i="4"/>
  <c r="AB167" i="4" s="1"/>
  <c r="F169" i="4"/>
  <c r="AB169" i="4" s="1"/>
  <c r="F171" i="4"/>
  <c r="AB171" i="4" s="1"/>
  <c r="F173" i="4"/>
  <c r="AB173" i="4" s="1"/>
  <c r="F175" i="4"/>
  <c r="AB175" i="4" s="1"/>
  <c r="A175" i="4"/>
  <c r="B175" i="4" s="1"/>
  <c r="A174" i="4"/>
  <c r="B174" i="4" s="1"/>
  <c r="A173" i="4"/>
  <c r="B173" i="4" s="1"/>
  <c r="A172" i="4"/>
  <c r="B172" i="4" s="1"/>
  <c r="A171" i="4"/>
  <c r="B171" i="4" s="1"/>
  <c r="A170" i="4"/>
  <c r="B170" i="4" s="1"/>
  <c r="A169" i="4"/>
  <c r="B169" i="4" s="1"/>
  <c r="A168" i="4"/>
  <c r="B168" i="4" s="1"/>
  <c r="A167" i="4"/>
  <c r="B167" i="4" s="1"/>
  <c r="A160" i="4"/>
  <c r="B160" i="4" s="1"/>
  <c r="A159" i="4"/>
  <c r="B159" i="4" s="1"/>
  <c r="A158" i="4"/>
  <c r="B158" i="4" s="1"/>
  <c r="A157" i="4"/>
  <c r="B157" i="4" s="1"/>
  <c r="A156" i="4"/>
  <c r="B156" i="4" s="1"/>
  <c r="A155" i="4"/>
  <c r="B155" i="4" s="1"/>
  <c r="A154" i="4"/>
  <c r="B154" i="4" s="1"/>
  <c r="A153" i="4"/>
  <c r="B153" i="4"/>
  <c r="A152" i="4"/>
  <c r="B152" i="4" s="1"/>
  <c r="A151" i="4"/>
  <c r="B151" i="4" s="1"/>
  <c r="A150" i="4"/>
  <c r="B150" i="4" s="1"/>
  <c r="A149" i="4"/>
  <c r="B149" i="4" s="1"/>
  <c r="A148" i="4"/>
  <c r="B148" i="4" s="1"/>
  <c r="A147" i="4"/>
  <c r="B147" i="4" s="1"/>
  <c r="A146" i="4"/>
  <c r="B146" i="4" s="1"/>
  <c r="A145" i="4"/>
  <c r="B145" i="4" s="1"/>
  <c r="A144" i="4"/>
  <c r="B144" i="4" s="1"/>
  <c r="A143" i="4"/>
  <c r="B143" i="4" s="1"/>
  <c r="A142" i="4"/>
  <c r="B142" i="4" s="1"/>
  <c r="A141" i="4"/>
  <c r="B141" i="4" s="1"/>
  <c r="A140" i="4"/>
  <c r="B140" i="4" s="1"/>
  <c r="A139" i="4"/>
  <c r="B139" i="4" s="1"/>
  <c r="A138" i="4"/>
  <c r="B138" i="4" s="1"/>
  <c r="A137" i="4"/>
  <c r="B137" i="4" s="1"/>
  <c r="A136" i="4"/>
  <c r="B136" i="4" s="1"/>
  <c r="A135" i="4"/>
  <c r="B135" i="4" s="1"/>
  <c r="A134" i="4"/>
  <c r="B134" i="4" s="1"/>
  <c r="A133" i="4"/>
  <c r="B133" i="4" s="1"/>
  <c r="A132" i="4"/>
  <c r="B132" i="4" s="1"/>
  <c r="A131" i="4"/>
  <c r="B131" i="4" s="1"/>
  <c r="A130" i="4"/>
  <c r="B130" i="4" s="1"/>
  <c r="A129" i="4"/>
  <c r="B129" i="4" s="1"/>
  <c r="A128" i="4"/>
  <c r="B128" i="4" s="1"/>
  <c r="A127" i="4"/>
  <c r="B127" i="4" s="1"/>
  <c r="A126" i="4"/>
  <c r="B126" i="4" s="1"/>
  <c r="A125" i="4"/>
  <c r="B125" i="4" s="1"/>
  <c r="A124" i="4"/>
  <c r="B124" i="4" s="1"/>
  <c r="A123" i="4"/>
  <c r="B123" i="4" s="1"/>
  <c r="A122" i="4"/>
  <c r="B122" i="4" s="1"/>
  <c r="A121" i="4"/>
  <c r="B121" i="4" s="1"/>
  <c r="A120" i="4"/>
  <c r="B120" i="4" s="1"/>
  <c r="A119" i="4"/>
  <c r="B119" i="4" s="1"/>
  <c r="A118" i="4"/>
  <c r="B118" i="4" s="1"/>
  <c r="A117" i="4"/>
  <c r="B117" i="4" s="1"/>
  <c r="A116" i="4"/>
  <c r="B116" i="4" s="1"/>
  <c r="A115" i="4"/>
  <c r="B115" i="4" s="1"/>
  <c r="A114" i="4"/>
  <c r="B114" i="4" s="1"/>
  <c r="A113" i="4"/>
  <c r="B113" i="4" s="1"/>
  <c r="A112" i="4"/>
  <c r="B112" i="4" s="1"/>
  <c r="A111" i="4"/>
  <c r="B111" i="4" s="1"/>
  <c r="A110" i="4"/>
  <c r="B110" i="4" s="1"/>
  <c r="A109" i="4"/>
  <c r="B109" i="4" s="1"/>
  <c r="A108" i="4"/>
  <c r="B108" i="4" s="1"/>
  <c r="A107" i="4"/>
  <c r="B107" i="4" s="1"/>
  <c r="A106" i="4"/>
  <c r="B106" i="4" s="1"/>
  <c r="A105" i="4"/>
  <c r="B105" i="4" s="1"/>
  <c r="A104" i="4"/>
  <c r="B104" i="4" s="1"/>
  <c r="A103" i="4"/>
  <c r="B103" i="4" s="1"/>
  <c r="A102" i="4"/>
  <c r="B102" i="4" s="1"/>
  <c r="A101" i="4"/>
  <c r="B101" i="4" s="1"/>
  <c r="A100" i="4"/>
  <c r="B100" i="4" s="1"/>
  <c r="A99" i="4"/>
  <c r="B99" i="4" s="1"/>
  <c r="A98" i="4"/>
  <c r="B98" i="4" s="1"/>
  <c r="A97" i="4"/>
  <c r="B97" i="4" s="1"/>
  <c r="A96" i="4"/>
  <c r="B96" i="4" s="1"/>
  <c r="A95" i="4"/>
  <c r="B95" i="4" s="1"/>
  <c r="A94" i="4"/>
  <c r="B94" i="4" s="1"/>
  <c r="A93" i="4"/>
  <c r="B93" i="4" s="1"/>
  <c r="A92" i="4"/>
  <c r="B92" i="4" s="1"/>
  <c r="A91" i="4"/>
  <c r="B91" i="4" s="1"/>
  <c r="A90" i="4"/>
  <c r="B90" i="4" s="1"/>
  <c r="A89" i="4"/>
  <c r="B89" i="4" s="1"/>
  <c r="A88" i="4"/>
  <c r="B88" i="4" s="1"/>
  <c r="A87" i="4"/>
  <c r="B87" i="4" s="1"/>
  <c r="A86" i="4"/>
  <c r="B86" i="4" s="1"/>
  <c r="A85" i="4"/>
  <c r="B85" i="4" s="1"/>
  <c r="A84" i="4"/>
  <c r="B84" i="4" s="1"/>
  <c r="A83" i="4"/>
  <c r="B83" i="4" s="1"/>
  <c r="A82" i="4"/>
  <c r="B82" i="4" s="1"/>
  <c r="A81" i="4"/>
  <c r="B81" i="4" s="1"/>
  <c r="A80" i="4"/>
  <c r="B80" i="4" s="1"/>
  <c r="A79" i="4"/>
  <c r="B79" i="4" s="1"/>
  <c r="A78" i="4"/>
  <c r="B78" i="4" s="1"/>
  <c r="A77" i="4"/>
  <c r="B77" i="4" s="1"/>
  <c r="A76" i="4"/>
  <c r="B76" i="4" s="1"/>
  <c r="A75" i="4"/>
  <c r="B75" i="4" s="1"/>
  <c r="A74" i="4"/>
  <c r="B74" i="4" s="1"/>
  <c r="A73" i="4"/>
  <c r="B73" i="4" s="1"/>
  <c r="A72" i="4"/>
  <c r="B72" i="4" s="1"/>
  <c r="A71" i="4"/>
  <c r="B71" i="4"/>
  <c r="A70" i="4"/>
  <c r="B70" i="4" s="1"/>
  <c r="A69" i="4"/>
  <c r="B69" i="4" s="1"/>
  <c r="A68" i="4"/>
  <c r="B68" i="4" s="1"/>
  <c r="A67" i="4"/>
  <c r="B67" i="4" s="1"/>
  <c r="A66" i="4"/>
  <c r="B66" i="4" s="1"/>
  <c r="A65" i="4"/>
  <c r="B65" i="4" s="1"/>
  <c r="A64" i="4"/>
  <c r="B64" i="4" s="1"/>
  <c r="A63" i="4"/>
  <c r="B63" i="4" s="1"/>
  <c r="A62" i="4"/>
  <c r="B62" i="4" s="1"/>
  <c r="A61" i="4"/>
  <c r="B61" i="4" s="1"/>
  <c r="A60" i="4"/>
  <c r="B60" i="4" s="1"/>
  <c r="A59" i="4"/>
  <c r="B59" i="4" s="1"/>
  <c r="A58" i="4"/>
  <c r="B58" i="4" s="1"/>
  <c r="A57" i="4"/>
  <c r="B57" i="4" s="1"/>
  <c r="A56" i="4"/>
  <c r="B56" i="4" s="1"/>
  <c r="A55" i="4"/>
  <c r="B55" i="4" s="1"/>
  <c r="A54" i="4"/>
  <c r="B54" i="4" s="1"/>
  <c r="A53" i="4"/>
  <c r="B53" i="4" s="1"/>
  <c r="A52" i="4"/>
  <c r="B52" i="4" s="1"/>
  <c r="A51" i="4"/>
  <c r="B51" i="4" s="1"/>
  <c r="A50" i="4"/>
  <c r="B50" i="4" s="1"/>
  <c r="A49" i="4"/>
  <c r="B49" i="4" s="1"/>
  <c r="A48" i="4"/>
  <c r="B48" i="4" s="1"/>
  <c r="A47" i="4"/>
  <c r="B47" i="4" s="1"/>
  <c r="A46" i="4"/>
  <c r="B46" i="4" s="1"/>
  <c r="A45" i="4"/>
  <c r="B45" i="4" s="1"/>
  <c r="A44" i="4"/>
  <c r="B44" i="4" s="1"/>
  <c r="A43" i="4"/>
  <c r="B43" i="4" s="1"/>
  <c r="A42" i="4"/>
  <c r="B42" i="4" s="1"/>
  <c r="A41" i="4"/>
  <c r="B41" i="4" s="1"/>
  <c r="A40" i="4"/>
  <c r="B40" i="4" s="1"/>
  <c r="A39" i="4"/>
  <c r="B39" i="4" s="1"/>
  <c r="A38" i="4"/>
  <c r="B38" i="4" s="1"/>
  <c r="A37" i="4"/>
  <c r="B37" i="4" s="1"/>
  <c r="A36" i="4"/>
  <c r="B36" i="4" s="1"/>
  <c r="A35" i="4"/>
  <c r="B35" i="4" s="1"/>
  <c r="A34" i="4"/>
  <c r="B34" i="4" s="1"/>
  <c r="A33" i="4"/>
  <c r="B33" i="4" s="1"/>
  <c r="A32" i="4"/>
  <c r="B32" i="4" s="1"/>
  <c r="A31" i="4"/>
  <c r="B31" i="4" s="1"/>
  <c r="A30" i="4"/>
  <c r="B30" i="4" s="1"/>
  <c r="A29" i="4"/>
  <c r="B29" i="4" s="1"/>
  <c r="A28" i="4"/>
  <c r="B28" i="4" s="1"/>
  <c r="A27" i="4"/>
  <c r="B27" i="4" s="1"/>
  <c r="A26" i="4"/>
  <c r="B26" i="4" s="1"/>
  <c r="A25" i="4"/>
  <c r="B25" i="4" s="1"/>
  <c r="A24" i="4"/>
  <c r="B24" i="4" s="1"/>
  <c r="A23" i="4"/>
  <c r="B23" i="4" s="1"/>
  <c r="A22" i="4"/>
  <c r="B22" i="4" s="1"/>
  <c r="A21" i="4"/>
  <c r="B21" i="4" s="1"/>
  <c r="A20" i="4"/>
  <c r="B20" i="4" s="1"/>
  <c r="A19" i="4"/>
  <c r="B19" i="4" s="1"/>
  <c r="A18" i="4"/>
  <c r="B18" i="4" s="1"/>
  <c r="A17" i="4"/>
  <c r="B17" i="4" s="1"/>
  <c r="A16" i="4"/>
  <c r="B16" i="4" s="1"/>
  <c r="A15" i="4"/>
  <c r="B15" i="4" s="1"/>
  <c r="A14" i="4"/>
  <c r="B14" i="4" s="1"/>
  <c r="A13" i="4"/>
  <c r="B13" i="4" s="1"/>
  <c r="A12" i="4"/>
  <c r="B12" i="4" s="1"/>
  <c r="A11" i="4"/>
  <c r="B11" i="4" s="1"/>
  <c r="A10" i="4"/>
  <c r="B10" i="4" s="1"/>
  <c r="A9" i="4"/>
  <c r="B9" i="4" s="1"/>
  <c r="A8" i="4"/>
  <c r="B8" i="4" s="1"/>
  <c r="A7" i="4"/>
  <c r="B7" i="4" s="1"/>
  <c r="A6" i="4"/>
  <c r="B6" i="4" s="1"/>
  <c r="A5" i="4"/>
  <c r="B5" i="4" s="1"/>
  <c r="A4" i="4"/>
  <c r="B4" i="4" s="1"/>
  <c r="A3" i="4"/>
  <c r="B3" i="4" s="1"/>
  <c r="BQ4" i="3"/>
  <c r="BR4" i="3"/>
  <c r="BQ5" i="3"/>
  <c r="BR5" i="3"/>
  <c r="BQ6" i="3"/>
  <c r="BR6" i="3"/>
  <c r="BQ7" i="3"/>
  <c r="BR7" i="3"/>
  <c r="BQ8" i="3"/>
  <c r="BR8" i="3"/>
  <c r="BQ9" i="3"/>
  <c r="BR9" i="3"/>
  <c r="BQ10" i="3"/>
  <c r="BR10" i="3"/>
  <c r="BQ11" i="3"/>
  <c r="BR11" i="3"/>
  <c r="BQ12" i="3"/>
  <c r="BR12" i="3"/>
  <c r="BQ13" i="3"/>
  <c r="BR13" i="3"/>
  <c r="BQ14" i="3"/>
  <c r="BR14" i="3"/>
  <c r="BQ15" i="3"/>
  <c r="BR15" i="3"/>
  <c r="BQ16" i="3"/>
  <c r="BR16" i="3"/>
  <c r="BQ17" i="3"/>
  <c r="BR17" i="3"/>
  <c r="BQ18" i="3"/>
  <c r="BR18" i="3"/>
  <c r="BQ19" i="3"/>
  <c r="BR19" i="3"/>
  <c r="BQ20" i="3"/>
  <c r="BR20" i="3"/>
  <c r="BQ21" i="3"/>
  <c r="BR21" i="3"/>
  <c r="BQ22" i="3"/>
  <c r="BR22" i="3"/>
  <c r="BQ23" i="3"/>
  <c r="BR23" i="3"/>
  <c r="BQ24" i="3"/>
  <c r="BR24" i="3"/>
  <c r="BQ25" i="3"/>
  <c r="BR25" i="3"/>
  <c r="BQ26" i="3"/>
  <c r="BR26" i="3"/>
  <c r="BQ27" i="3"/>
  <c r="BR27" i="3"/>
  <c r="BQ28" i="3"/>
  <c r="BR28" i="3"/>
  <c r="BQ29" i="3"/>
  <c r="BR29" i="3"/>
  <c r="BQ30" i="3"/>
  <c r="BR30" i="3"/>
  <c r="BQ31" i="3"/>
  <c r="BR31" i="3"/>
  <c r="BQ32" i="3"/>
  <c r="BQ33" i="3"/>
  <c r="BR33" i="3"/>
  <c r="BQ34" i="3"/>
  <c r="BR34" i="3"/>
  <c r="BQ35" i="3"/>
  <c r="BR35" i="3"/>
  <c r="BQ36" i="3"/>
  <c r="BR36" i="3"/>
  <c r="BQ37" i="3"/>
  <c r="BR37" i="3"/>
  <c r="BQ38" i="3"/>
  <c r="BR38" i="3"/>
  <c r="BQ39" i="3"/>
  <c r="BR39" i="3"/>
  <c r="BQ40" i="3"/>
  <c r="BR40" i="3"/>
  <c r="BQ41" i="3"/>
  <c r="BR41" i="3"/>
  <c r="BQ42" i="3"/>
  <c r="BR42" i="3"/>
  <c r="BQ43" i="3"/>
  <c r="BR43" i="3"/>
  <c r="BQ44" i="3"/>
  <c r="BR44" i="3"/>
  <c r="BQ45" i="3"/>
  <c r="BR45" i="3"/>
  <c r="BQ46" i="3"/>
  <c r="BR46" i="3"/>
  <c r="BQ47" i="3"/>
  <c r="BR47" i="3"/>
  <c r="BQ48" i="3"/>
  <c r="BR48" i="3"/>
  <c r="BQ49" i="3"/>
  <c r="BR49" i="3"/>
  <c r="BQ50" i="3"/>
  <c r="BR50" i="3"/>
  <c r="BQ51" i="3"/>
  <c r="BR51" i="3"/>
  <c r="BQ52" i="3"/>
  <c r="BQ53" i="3"/>
  <c r="BR53" i="3"/>
  <c r="BQ54" i="3"/>
  <c r="BR54" i="3"/>
  <c r="BQ55" i="3"/>
  <c r="BR55" i="3"/>
  <c r="BQ56" i="3"/>
  <c r="BR56" i="3"/>
  <c r="BQ57" i="3"/>
  <c r="BR57" i="3"/>
  <c r="BQ58" i="3"/>
  <c r="BR58" i="3"/>
  <c r="BQ59" i="3"/>
  <c r="BR59" i="3"/>
  <c r="BQ60" i="3"/>
  <c r="BR60" i="3"/>
  <c r="BQ61" i="3"/>
  <c r="BR61" i="3"/>
  <c r="BQ62" i="3"/>
  <c r="BR62" i="3"/>
  <c r="BQ63" i="3"/>
  <c r="BR63" i="3"/>
  <c r="BQ64" i="3"/>
  <c r="BR64" i="3"/>
  <c r="BQ65" i="3"/>
  <c r="BR65" i="3"/>
  <c r="BQ66" i="3"/>
  <c r="BR66" i="3"/>
  <c r="BQ67" i="3"/>
  <c r="BR67" i="3"/>
  <c r="BQ68" i="3"/>
  <c r="BR68" i="3"/>
  <c r="BQ69" i="3"/>
  <c r="BR69" i="3"/>
  <c r="BQ70" i="3"/>
  <c r="BR70" i="3"/>
  <c r="BQ71" i="3"/>
  <c r="BR71" i="3"/>
  <c r="BQ72" i="3"/>
  <c r="BR72" i="3"/>
  <c r="BQ73" i="3"/>
  <c r="BR73" i="3"/>
  <c r="BQ74" i="3"/>
  <c r="BR74" i="3"/>
  <c r="BQ75" i="3"/>
  <c r="BR75" i="3"/>
  <c r="BQ76" i="3"/>
  <c r="BR76" i="3"/>
  <c r="BQ77" i="3"/>
  <c r="BR77" i="3"/>
  <c r="BQ78" i="3"/>
  <c r="BR78" i="3"/>
  <c r="BQ79" i="3"/>
  <c r="BR79" i="3"/>
  <c r="BQ80" i="3"/>
  <c r="BR80" i="3"/>
  <c r="BQ81" i="3"/>
  <c r="BR81" i="3"/>
  <c r="BQ82" i="3"/>
  <c r="BR82" i="3"/>
  <c r="BQ83" i="3"/>
  <c r="BR83" i="3"/>
  <c r="BQ84" i="3"/>
  <c r="BR84" i="3"/>
  <c r="BQ85" i="3"/>
  <c r="BR85" i="3"/>
  <c r="BQ86" i="3"/>
  <c r="BR86" i="3"/>
  <c r="BQ87" i="3"/>
  <c r="BR87" i="3"/>
  <c r="BQ88" i="3"/>
  <c r="BR88" i="3"/>
  <c r="BQ89" i="3"/>
  <c r="BR89" i="3"/>
  <c r="BQ90" i="3"/>
  <c r="BR90" i="3"/>
  <c r="BQ91" i="3"/>
  <c r="BR91" i="3"/>
  <c r="BQ92" i="3"/>
  <c r="BR92" i="3"/>
  <c r="BQ93" i="3"/>
  <c r="BR93" i="3"/>
  <c r="BQ94" i="3"/>
  <c r="BR94" i="3"/>
  <c r="BQ95" i="3"/>
  <c r="BR95" i="3"/>
  <c r="BQ96" i="3"/>
  <c r="BR96" i="3"/>
  <c r="BQ97" i="3"/>
  <c r="BR97" i="3"/>
  <c r="BQ98" i="3"/>
  <c r="BR98" i="3"/>
  <c r="BQ99" i="3"/>
  <c r="BR99" i="3"/>
  <c r="BQ100" i="3"/>
  <c r="BQ101" i="3"/>
  <c r="BR101" i="3"/>
  <c r="BQ102" i="3"/>
  <c r="BR102" i="3"/>
  <c r="BQ103" i="3"/>
  <c r="BR103" i="3"/>
  <c r="BQ104" i="3"/>
  <c r="BR104" i="3"/>
  <c r="BQ105" i="3"/>
  <c r="BR105" i="3"/>
  <c r="BQ106" i="3"/>
  <c r="BR106" i="3"/>
  <c r="BQ107" i="3"/>
  <c r="BR107" i="3"/>
  <c r="BQ108" i="3"/>
  <c r="BR108" i="3"/>
  <c r="BQ109" i="3"/>
  <c r="BR109" i="3"/>
  <c r="BQ110" i="3"/>
  <c r="BR110" i="3"/>
  <c r="BQ111" i="3"/>
  <c r="BR111" i="3"/>
  <c r="BQ112" i="3"/>
  <c r="BR112" i="3"/>
  <c r="BQ113" i="3"/>
  <c r="BR113" i="3"/>
  <c r="BQ114" i="3"/>
  <c r="BR114" i="3"/>
  <c r="BQ115" i="3"/>
  <c r="BR115" i="3"/>
  <c r="BQ116" i="3"/>
  <c r="BR116" i="3"/>
  <c r="BQ117" i="3"/>
  <c r="BR117" i="3"/>
  <c r="BQ118" i="3"/>
  <c r="BR118" i="3"/>
  <c r="BQ119" i="3"/>
  <c r="BR119" i="3"/>
  <c r="BQ120" i="3"/>
  <c r="BR120" i="3"/>
  <c r="BQ121" i="3"/>
  <c r="BR121" i="3"/>
  <c r="BQ122" i="3"/>
  <c r="BR122" i="3"/>
  <c r="BQ123" i="3"/>
  <c r="BR123" i="3"/>
  <c r="BQ124" i="3"/>
  <c r="BQ125" i="3"/>
  <c r="BR125" i="3"/>
  <c r="BQ126" i="3"/>
  <c r="BR126" i="3"/>
  <c r="BQ127" i="3"/>
  <c r="BR127" i="3"/>
  <c r="BQ128" i="3"/>
  <c r="BR128" i="3"/>
  <c r="BQ129" i="3"/>
  <c r="BR129" i="3"/>
  <c r="BQ130" i="3"/>
  <c r="BR130" i="3"/>
  <c r="BQ131" i="3"/>
  <c r="BR131" i="3"/>
  <c r="BQ132" i="3"/>
  <c r="BR132" i="3"/>
  <c r="BQ133" i="3"/>
  <c r="BR133" i="3"/>
  <c r="BQ134" i="3"/>
  <c r="BR134" i="3"/>
  <c r="BQ135" i="3"/>
  <c r="BR135" i="3"/>
  <c r="BQ136" i="3"/>
  <c r="BR136" i="3"/>
  <c r="BQ137" i="3"/>
  <c r="BR137" i="3"/>
  <c r="BQ138" i="3"/>
  <c r="BR138" i="3"/>
  <c r="BQ139" i="3"/>
  <c r="BR139" i="3"/>
  <c r="BQ140" i="3"/>
  <c r="BR140" i="3"/>
  <c r="BQ141" i="3"/>
  <c r="BR141" i="3"/>
  <c r="BQ142" i="3"/>
  <c r="BR142" i="3"/>
  <c r="BQ143" i="3"/>
  <c r="BR143" i="3"/>
  <c r="BQ144" i="3"/>
  <c r="BR144" i="3"/>
  <c r="BQ145" i="3"/>
  <c r="BR145" i="3"/>
  <c r="BQ146" i="3"/>
  <c r="BR146" i="3"/>
  <c r="BQ147" i="3"/>
  <c r="BR147" i="3"/>
  <c r="BQ148" i="3"/>
  <c r="BR148" i="3"/>
  <c r="BQ149" i="3"/>
  <c r="BR149" i="3"/>
  <c r="BQ150" i="3"/>
  <c r="BR150" i="3"/>
  <c r="BQ151" i="3"/>
  <c r="BR151" i="3"/>
  <c r="BQ152" i="3"/>
  <c r="BR152" i="3"/>
  <c r="BQ153" i="3"/>
  <c r="BR153" i="3"/>
  <c r="BQ154" i="3"/>
  <c r="BR154" i="3"/>
  <c r="BQ155" i="3"/>
  <c r="BR155" i="3"/>
  <c r="BQ156" i="3"/>
  <c r="BR156" i="3"/>
  <c r="BQ157" i="3"/>
  <c r="BR157" i="3"/>
  <c r="BQ158" i="3"/>
  <c r="BR158" i="3"/>
  <c r="BQ159" i="3"/>
  <c r="BR159" i="3"/>
  <c r="BQ160" i="3"/>
  <c r="BR160" i="3"/>
  <c r="BQ161" i="3"/>
  <c r="BR161" i="3"/>
  <c r="BQ167" i="3"/>
  <c r="BR167" i="3"/>
  <c r="BQ168" i="3"/>
  <c r="BR168" i="3"/>
  <c r="BQ169" i="3"/>
  <c r="BR169" i="3"/>
  <c r="BQ170" i="3"/>
  <c r="BR170" i="3"/>
  <c r="BQ171" i="3"/>
  <c r="BR171" i="3"/>
  <c r="BQ172" i="3"/>
  <c r="BR172" i="3"/>
  <c r="BQ173" i="3"/>
  <c r="BR173" i="3"/>
  <c r="BQ174" i="3"/>
  <c r="BR174" i="3"/>
  <c r="BQ175" i="3"/>
  <c r="BR175" i="3"/>
  <c r="BQ176" i="3"/>
  <c r="BR176" i="3"/>
  <c r="BR32" i="3"/>
  <c r="BR52" i="3"/>
  <c r="BR100" i="3"/>
  <c r="BR12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7" i="3"/>
  <c r="A168" i="3"/>
  <c r="A169" i="3"/>
  <c r="A170" i="3"/>
  <c r="A171" i="3"/>
  <c r="A172" i="3"/>
  <c r="A173" i="3"/>
  <c r="A174" i="3"/>
  <c r="A175" i="3"/>
  <c r="A176" i="3"/>
  <c r="A4"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I124" i="3"/>
  <c r="BI125" i="3"/>
  <c r="BI126" i="3"/>
  <c r="BI127" i="3"/>
  <c r="BI128" i="3"/>
  <c r="BI129" i="3"/>
  <c r="BI130" i="3"/>
  <c r="BI131" i="3"/>
  <c r="BI132" i="3"/>
  <c r="BI133" i="3"/>
  <c r="BI134" i="3"/>
  <c r="BI135" i="3"/>
  <c r="BI136" i="3"/>
  <c r="BI137" i="3"/>
  <c r="BI138" i="3"/>
  <c r="BI139" i="3"/>
  <c r="BI140" i="3"/>
  <c r="BI141" i="3"/>
  <c r="BI142" i="3"/>
  <c r="BI143" i="3"/>
  <c r="BI144" i="3"/>
  <c r="BI145" i="3"/>
  <c r="BI146" i="3"/>
  <c r="BI147" i="3"/>
  <c r="BI148" i="3"/>
  <c r="BI149" i="3"/>
  <c r="BI150" i="3"/>
  <c r="BI151" i="3"/>
  <c r="BI152" i="3"/>
  <c r="BI153" i="3"/>
  <c r="BI154" i="3"/>
  <c r="BI155" i="3"/>
  <c r="BI156" i="3"/>
  <c r="BI157" i="3"/>
  <c r="BI158" i="3"/>
  <c r="BI159" i="3"/>
  <c r="BI160" i="3"/>
  <c r="BI161" i="3"/>
  <c r="BI168" i="3"/>
  <c r="BI169" i="3"/>
  <c r="BI170" i="3"/>
  <c r="BI171" i="3"/>
  <c r="BI172" i="3"/>
  <c r="BI173" i="3"/>
  <c r="BI174" i="3"/>
  <c r="BI175" i="3"/>
  <c r="BI176" i="3"/>
  <c r="BI5" i="3"/>
  <c r="BI11" i="3"/>
  <c r="BI15" i="3"/>
  <c r="BI17" i="3"/>
  <c r="BJ36" i="3"/>
  <c r="BJ37" i="3"/>
  <c r="BJ38" i="3"/>
  <c r="BJ39" i="3"/>
  <c r="BJ40" i="3"/>
  <c r="BJ41" i="3"/>
  <c r="BJ42" i="3"/>
  <c r="BJ43" i="3"/>
  <c r="BJ44" i="3"/>
  <c r="BJ45" i="3"/>
  <c r="BJ46" i="3"/>
  <c r="BJ47" i="3"/>
  <c r="BJ48" i="3"/>
  <c r="BJ49" i="3"/>
  <c r="BJ50" i="3"/>
  <c r="BJ51" i="3"/>
  <c r="BJ52" i="3"/>
  <c r="BJ53" i="3"/>
  <c r="BJ54" i="3"/>
  <c r="BJ55" i="3"/>
  <c r="BJ56" i="3"/>
  <c r="BJ57" i="3"/>
  <c r="BJ58" i="3"/>
  <c r="BJ59" i="3"/>
  <c r="BJ60" i="3"/>
  <c r="BJ61" i="3"/>
  <c r="BJ62" i="3"/>
  <c r="BJ63" i="3"/>
  <c r="BJ64" i="3"/>
  <c r="BJ65" i="3"/>
  <c r="BJ66" i="3"/>
  <c r="BJ67" i="3"/>
  <c r="BJ68" i="3"/>
  <c r="BJ69" i="3"/>
  <c r="BJ70" i="3"/>
  <c r="BJ71" i="3"/>
  <c r="BJ72" i="3"/>
  <c r="BJ73" i="3"/>
  <c r="BJ74" i="3"/>
  <c r="BJ75" i="3"/>
  <c r="BJ76" i="3"/>
  <c r="BJ77" i="3"/>
  <c r="BJ78" i="3"/>
  <c r="BJ79" i="3"/>
  <c r="BJ80" i="3"/>
  <c r="BJ81" i="3"/>
  <c r="BJ82" i="3"/>
  <c r="BJ83" i="3"/>
  <c r="BJ84" i="3"/>
  <c r="BJ85" i="3"/>
  <c r="BJ86" i="3"/>
  <c r="BJ87" i="3"/>
  <c r="BJ88" i="3"/>
  <c r="BJ89" i="3"/>
  <c r="BJ90" i="3"/>
  <c r="BJ91" i="3"/>
  <c r="BJ92" i="3"/>
  <c r="BJ93" i="3"/>
  <c r="BJ94" i="3"/>
  <c r="BJ95" i="3"/>
  <c r="BJ96" i="3"/>
  <c r="BJ97" i="3"/>
  <c r="BJ98" i="3"/>
  <c r="BJ99" i="3"/>
  <c r="BJ100" i="3"/>
  <c r="BJ101" i="3"/>
  <c r="BJ102" i="3"/>
  <c r="BJ103" i="3"/>
  <c r="BJ104" i="3"/>
  <c r="BJ105" i="3"/>
  <c r="BJ106" i="3"/>
  <c r="BJ107" i="3"/>
  <c r="BJ108" i="3"/>
  <c r="BJ109" i="3"/>
  <c r="BJ110" i="3"/>
  <c r="BJ111" i="3"/>
  <c r="BJ112" i="3"/>
  <c r="BJ113" i="3"/>
  <c r="BJ114" i="3"/>
  <c r="BJ115" i="3"/>
  <c r="BJ116" i="3"/>
  <c r="BJ117" i="3"/>
  <c r="BJ118" i="3"/>
  <c r="BJ119" i="3"/>
  <c r="BJ120" i="3"/>
  <c r="BJ121" i="3"/>
  <c r="BJ122" i="3"/>
  <c r="BJ123" i="3"/>
  <c r="BJ124" i="3"/>
  <c r="BJ125" i="3"/>
  <c r="BJ126" i="3"/>
  <c r="BJ127" i="3"/>
  <c r="BJ128" i="3"/>
  <c r="BJ129" i="3"/>
  <c r="BJ130" i="3"/>
  <c r="BJ131" i="3"/>
  <c r="BJ132" i="3"/>
  <c r="BJ133" i="3"/>
  <c r="BJ134" i="3"/>
  <c r="BJ135" i="3"/>
  <c r="BJ136" i="3"/>
  <c r="BJ137" i="3"/>
  <c r="BJ138" i="3"/>
  <c r="BJ139" i="3"/>
  <c r="BJ140" i="3"/>
  <c r="BJ141" i="3"/>
  <c r="BJ142" i="3"/>
  <c r="BJ143" i="3"/>
  <c r="BJ144" i="3"/>
  <c r="BJ145" i="3"/>
  <c r="BJ146" i="3"/>
  <c r="BJ147" i="3"/>
  <c r="BJ148" i="3"/>
  <c r="BJ149" i="3"/>
  <c r="BJ150" i="3"/>
  <c r="BJ151" i="3"/>
  <c r="BJ152" i="3"/>
  <c r="BJ153" i="3"/>
  <c r="BJ154" i="3"/>
  <c r="BJ155" i="3"/>
  <c r="BJ156" i="3"/>
  <c r="BJ157" i="3"/>
  <c r="BJ158" i="3"/>
  <c r="BJ159" i="3"/>
  <c r="BJ160" i="3"/>
  <c r="BJ161" i="3"/>
  <c r="BJ168" i="3"/>
  <c r="BJ169" i="3"/>
  <c r="BJ170" i="3"/>
  <c r="BJ171" i="3"/>
  <c r="BJ172" i="3"/>
  <c r="BJ173" i="3"/>
  <c r="BJ174" i="3"/>
  <c r="BJ175" i="3"/>
  <c r="BJ176" i="3"/>
  <c r="BJ5" i="3"/>
  <c r="BJ11" i="3"/>
  <c r="BJ15" i="3"/>
  <c r="BJ17" i="3"/>
  <c r="A129" i="9"/>
  <c r="A121" i="9"/>
  <c r="A109" i="9"/>
  <c r="A97" i="9"/>
  <c r="A89" i="9"/>
  <c r="A77" i="9"/>
  <c r="A61" i="9"/>
  <c r="A49" i="9"/>
  <c r="A37" i="9"/>
  <c r="A173" i="9"/>
  <c r="A169" i="9"/>
  <c r="A165" i="9"/>
  <c r="A156" i="9"/>
  <c r="A152" i="9"/>
  <c r="A148" i="9"/>
  <c r="A144" i="9"/>
  <c r="A140" i="9"/>
  <c r="A136" i="9"/>
  <c r="A132" i="9"/>
  <c r="A128" i="9"/>
  <c r="A124" i="9"/>
  <c r="A120" i="9"/>
  <c r="A116" i="9"/>
  <c r="A112" i="9"/>
  <c r="A108" i="9"/>
  <c r="A104" i="9"/>
  <c r="A100" i="9"/>
  <c r="A96" i="9"/>
  <c r="A92" i="9"/>
  <c r="A88" i="9"/>
  <c r="A84" i="9"/>
  <c r="A80" i="9"/>
  <c r="A76" i="9"/>
  <c r="A72" i="9"/>
  <c r="A68" i="9"/>
  <c r="A64" i="9"/>
  <c r="A60" i="9"/>
  <c r="A117" i="9"/>
  <c r="A105" i="9"/>
  <c r="A93" i="9"/>
  <c r="A81" i="9"/>
  <c r="A69" i="9"/>
  <c r="A57" i="9"/>
  <c r="A45" i="9"/>
  <c r="A131" i="9"/>
  <c r="A127" i="9"/>
  <c r="A123" i="9"/>
  <c r="A119" i="9"/>
  <c r="A115" i="9"/>
  <c r="A111" i="9"/>
  <c r="A107" i="9"/>
  <c r="A103" i="9"/>
  <c r="A99" i="9"/>
  <c r="A95" i="9"/>
  <c r="A91" i="9"/>
  <c r="A87" i="9"/>
  <c r="A83" i="9"/>
  <c r="A79" i="9"/>
  <c r="A75" i="9"/>
  <c r="A71" i="9"/>
  <c r="A67" i="9"/>
  <c r="A63" i="9"/>
  <c r="A59" i="9"/>
  <c r="A55" i="9"/>
  <c r="A51" i="9"/>
  <c r="A47" i="9"/>
  <c r="A43" i="9"/>
  <c r="A39" i="9"/>
  <c r="A35" i="9"/>
  <c r="A125" i="9"/>
  <c r="A113" i="9"/>
  <c r="A101" i="9"/>
  <c r="A85" i="9"/>
  <c r="A73" i="9"/>
  <c r="A65" i="9"/>
  <c r="A53" i="9"/>
  <c r="A41" i="9"/>
  <c r="A33" i="9"/>
  <c r="A2" i="9"/>
  <c r="A171" i="9"/>
  <c r="A167" i="9"/>
  <c r="A158" i="9"/>
  <c r="A154" i="9"/>
  <c r="A150" i="9"/>
  <c r="A146" i="9"/>
  <c r="A142" i="9"/>
  <c r="A138" i="9"/>
  <c r="A134" i="9"/>
  <c r="A130" i="9"/>
  <c r="A126" i="9"/>
  <c r="A122" i="9"/>
  <c r="A118" i="9"/>
  <c r="A114" i="9"/>
  <c r="A110" i="9"/>
  <c r="A106" i="9"/>
  <c r="A102" i="9"/>
  <c r="A98" i="9"/>
  <c r="A94" i="9"/>
  <c r="A90" i="9"/>
  <c r="A86" i="9"/>
  <c r="A82" i="9"/>
  <c r="A78" i="9"/>
  <c r="A74" i="9"/>
  <c r="A70" i="9"/>
  <c r="A66" i="9"/>
  <c r="A62" i="9"/>
  <c r="H128" i="4"/>
  <c r="P128" i="4" s="1"/>
  <c r="X64" i="4"/>
  <c r="X48" i="4"/>
  <c r="H48" i="4"/>
  <c r="P48" i="4" s="1"/>
  <c r="H158" i="4"/>
  <c r="P158" i="4" s="1"/>
  <c r="H150" i="4"/>
  <c r="P150" i="4" s="1"/>
  <c r="X134" i="4"/>
  <c r="H126" i="4"/>
  <c r="P126" i="4" s="1"/>
  <c r="X94" i="4"/>
  <c r="H94" i="4"/>
  <c r="P94" i="4"/>
  <c r="H86" i="4"/>
  <c r="P86" i="4" s="1"/>
  <c r="H78" i="4"/>
  <c r="P78" i="4" s="1"/>
  <c r="X70" i="4"/>
  <c r="H70" i="4"/>
  <c r="P70" i="4" s="1"/>
  <c r="H46" i="4"/>
  <c r="P46" i="4" s="1"/>
  <c r="X38" i="4"/>
  <c r="H22" i="4"/>
  <c r="P22" i="4" s="1"/>
  <c r="H14" i="4"/>
  <c r="P14" i="4" s="1"/>
  <c r="X6" i="4"/>
  <c r="H6" i="4"/>
  <c r="P6" i="4" s="1"/>
  <c r="H173" i="4"/>
  <c r="P173" i="4" s="1"/>
  <c r="H56" i="4"/>
  <c r="P56" i="4" s="1"/>
  <c r="X169" i="4"/>
  <c r="H169" i="4"/>
  <c r="P169" i="4" s="1"/>
  <c r="H156" i="4"/>
  <c r="P156" i="4" s="1"/>
  <c r="H140" i="4"/>
  <c r="P140" i="4" s="1"/>
  <c r="H108" i="4"/>
  <c r="P108" i="4" s="1"/>
  <c r="H92" i="4"/>
  <c r="P92" i="4" s="1"/>
  <c r="H60" i="4"/>
  <c r="P60" i="4" s="1"/>
  <c r="H52" i="4"/>
  <c r="P52" i="4" s="1"/>
  <c r="H44" i="4"/>
  <c r="P44" i="4" s="1"/>
  <c r="X36" i="4"/>
  <c r="H36" i="4"/>
  <c r="P36" i="4" s="1"/>
  <c r="X28" i="4"/>
  <c r="H28" i="4"/>
  <c r="P28" i="4" s="1"/>
  <c r="H20" i="4"/>
  <c r="P20" i="4" s="1"/>
  <c r="H12" i="4"/>
  <c r="P12" i="4" s="1"/>
  <c r="X4" i="4"/>
  <c r="H4" i="4"/>
  <c r="P4" i="4" s="1"/>
  <c r="X114" i="4"/>
  <c r="H114" i="4"/>
  <c r="P114" i="4" s="1"/>
  <c r="X106" i="4"/>
  <c r="H106" i="4"/>
  <c r="P106" i="4" s="1"/>
  <c r="H98" i="4"/>
  <c r="P98" i="4" s="1"/>
  <c r="X82" i="4"/>
  <c r="A174" i="6"/>
  <c r="A174" i="9"/>
  <c r="A170" i="6"/>
  <c r="A170" i="9"/>
  <c r="A166" i="6"/>
  <c r="A166" i="9"/>
  <c r="A157" i="6"/>
  <c r="A157" i="9"/>
  <c r="A153" i="6"/>
  <c r="A153" i="9"/>
  <c r="A149" i="6"/>
  <c r="A149" i="9"/>
  <c r="A145" i="6"/>
  <c r="A145" i="9"/>
  <c r="A141" i="6"/>
  <c r="A141" i="9"/>
  <c r="A137" i="6"/>
  <c r="A137" i="9"/>
  <c r="A133" i="6"/>
  <c r="A133" i="9"/>
  <c r="A29" i="6"/>
  <c r="A29" i="9"/>
  <c r="A25" i="6"/>
  <c r="A25" i="9"/>
  <c r="A21" i="6"/>
  <c r="A21" i="9"/>
  <c r="A17" i="6"/>
  <c r="A17" i="9"/>
  <c r="A13" i="6"/>
  <c r="A13" i="9"/>
  <c r="A9" i="6"/>
  <c r="A9" i="9"/>
  <c r="A5" i="6"/>
  <c r="A5" i="9"/>
  <c r="A56" i="6"/>
  <c r="A56" i="9"/>
  <c r="A52" i="6"/>
  <c r="A52" i="9"/>
  <c r="A48" i="6"/>
  <c r="A48" i="9"/>
  <c r="A44" i="6"/>
  <c r="A44" i="9"/>
  <c r="A40" i="6"/>
  <c r="A40" i="9"/>
  <c r="A36" i="6"/>
  <c r="A36" i="9"/>
  <c r="A32" i="6"/>
  <c r="A32" i="9"/>
  <c r="A28" i="6"/>
  <c r="A28" i="9"/>
  <c r="A24" i="6"/>
  <c r="A24" i="9"/>
  <c r="A20" i="6"/>
  <c r="A20" i="9"/>
  <c r="A16" i="6"/>
  <c r="A16" i="9"/>
  <c r="A12" i="6"/>
  <c r="A12" i="9"/>
  <c r="A8" i="6"/>
  <c r="A8" i="9"/>
  <c r="A4" i="6"/>
  <c r="A4" i="9"/>
  <c r="A172" i="6"/>
  <c r="A172" i="9"/>
  <c r="A168" i="6"/>
  <c r="A168" i="9"/>
  <c r="A159" i="6"/>
  <c r="A159" i="9"/>
  <c r="A155" i="6"/>
  <c r="A155" i="9"/>
  <c r="A151" i="6"/>
  <c r="A151" i="9"/>
  <c r="A147" i="6"/>
  <c r="A147" i="9"/>
  <c r="A143" i="6"/>
  <c r="A143" i="9"/>
  <c r="A139" i="6"/>
  <c r="A139" i="9"/>
  <c r="A135" i="6"/>
  <c r="A135" i="9"/>
  <c r="A31" i="6"/>
  <c r="A31" i="9"/>
  <c r="A27" i="6"/>
  <c r="A27" i="9"/>
  <c r="A23" i="6"/>
  <c r="A23" i="9"/>
  <c r="A19" i="6"/>
  <c r="A19" i="9"/>
  <c r="A15" i="6"/>
  <c r="A15" i="9"/>
  <c r="A11" i="6"/>
  <c r="A11" i="9"/>
  <c r="A7" i="6"/>
  <c r="A7" i="9"/>
  <c r="A3" i="6"/>
  <c r="A3" i="9"/>
  <c r="A58" i="6"/>
  <c r="A58" i="9"/>
  <c r="A54" i="6"/>
  <c r="A54" i="9"/>
  <c r="A50" i="6"/>
  <c r="A50" i="9"/>
  <c r="A46" i="6"/>
  <c r="A46" i="9"/>
  <c r="A42" i="6"/>
  <c r="A42" i="9"/>
  <c r="A38" i="6"/>
  <c r="A38" i="9"/>
  <c r="A34" i="6"/>
  <c r="A34" i="9"/>
  <c r="A30" i="6"/>
  <c r="A30" i="9"/>
  <c r="A26" i="6"/>
  <c r="A26" i="9"/>
  <c r="A22" i="6"/>
  <c r="A22" i="9"/>
  <c r="A18" i="6"/>
  <c r="A18" i="9"/>
  <c r="A14" i="6"/>
  <c r="A14" i="9"/>
  <c r="A10" i="6"/>
  <c r="A10" i="9"/>
  <c r="A6" i="6"/>
  <c r="A6" i="9"/>
  <c r="B5" i="3"/>
  <c r="B3" i="9"/>
  <c r="B13" i="3"/>
  <c r="B11" i="9"/>
  <c r="B174" i="3"/>
  <c r="B172" i="9"/>
  <c r="B137" i="3"/>
  <c r="B135" i="9"/>
  <c r="B153" i="3"/>
  <c r="B151" i="9"/>
  <c r="B9" i="3"/>
  <c r="B7" i="9"/>
  <c r="B17" i="3"/>
  <c r="B15" i="9"/>
  <c r="B145" i="3"/>
  <c r="B19" i="3"/>
  <c r="B17" i="9"/>
  <c r="B11" i="3"/>
  <c r="B9" i="9"/>
  <c r="B161" i="3"/>
  <c r="B159" i="9"/>
  <c r="B15" i="3"/>
  <c r="B7" i="3"/>
  <c r="B5" i="9"/>
  <c r="B176" i="3"/>
  <c r="B174" i="9"/>
  <c r="A169" i="6"/>
  <c r="B171" i="3"/>
  <c r="B169" i="9"/>
  <c r="B168" i="3"/>
  <c r="B166" i="9"/>
  <c r="A156" i="6"/>
  <c r="B158" i="3"/>
  <c r="B156" i="9"/>
  <c r="B155" i="3"/>
  <c r="B153" i="9"/>
  <c r="A148" i="6"/>
  <c r="B150" i="3"/>
  <c r="B148" i="9"/>
  <c r="B147" i="3"/>
  <c r="B145" i="9"/>
  <c r="A140" i="6"/>
  <c r="B142" i="3"/>
  <c r="B140" i="9"/>
  <c r="B139" i="3"/>
  <c r="B137" i="9"/>
  <c r="A132" i="6"/>
  <c r="B134" i="3"/>
  <c r="B132" i="9"/>
  <c r="A128" i="6"/>
  <c r="B130" i="3"/>
  <c r="B128" i="9"/>
  <c r="A124" i="6"/>
  <c r="B126" i="3"/>
  <c r="B124" i="9"/>
  <c r="A120" i="6"/>
  <c r="B122" i="3"/>
  <c r="B120" i="9"/>
  <c r="A116" i="6"/>
  <c r="B118" i="3"/>
  <c r="B116" i="9"/>
  <c r="A112" i="6"/>
  <c r="B114" i="3"/>
  <c r="B112" i="9"/>
  <c r="A108" i="6"/>
  <c r="B110" i="3"/>
  <c r="B108" i="9"/>
  <c r="A104" i="6"/>
  <c r="B106" i="3"/>
  <c r="B104" i="9"/>
  <c r="A100" i="6"/>
  <c r="B102" i="3"/>
  <c r="B100" i="9"/>
  <c r="A96" i="6"/>
  <c r="B98" i="3"/>
  <c r="B96" i="9"/>
  <c r="A92" i="6"/>
  <c r="B94" i="3"/>
  <c r="B92" i="9"/>
  <c r="A88" i="6"/>
  <c r="B90" i="3"/>
  <c r="B88" i="9"/>
  <c r="A84" i="6"/>
  <c r="B86" i="3"/>
  <c r="B84" i="9"/>
  <c r="A80" i="6"/>
  <c r="B82" i="3"/>
  <c r="B80" i="9"/>
  <c r="A76" i="6"/>
  <c r="B78" i="3"/>
  <c r="B76" i="9"/>
  <c r="A72" i="6"/>
  <c r="B74" i="3"/>
  <c r="B72" i="9"/>
  <c r="A68" i="6"/>
  <c r="B70" i="3"/>
  <c r="B68" i="9"/>
  <c r="A64" i="6"/>
  <c r="B66" i="3"/>
  <c r="B64" i="9"/>
  <c r="A60" i="6"/>
  <c r="B62" i="3"/>
  <c r="B60" i="9"/>
  <c r="A171" i="6"/>
  <c r="B173" i="3"/>
  <c r="B171" i="9"/>
  <c r="B170" i="3"/>
  <c r="B168" i="9"/>
  <c r="A158" i="6"/>
  <c r="B160" i="3"/>
  <c r="B158" i="9"/>
  <c r="B157" i="3"/>
  <c r="B155" i="9"/>
  <c r="A150" i="6"/>
  <c r="B152" i="3"/>
  <c r="B150" i="9"/>
  <c r="B149" i="3"/>
  <c r="B147" i="9"/>
  <c r="A142" i="6"/>
  <c r="B144" i="3"/>
  <c r="B142" i="9"/>
  <c r="B141" i="3"/>
  <c r="B139" i="9"/>
  <c r="A134" i="6"/>
  <c r="B136" i="3"/>
  <c r="B134" i="9"/>
  <c r="A131" i="6"/>
  <c r="B133" i="3"/>
  <c r="B131" i="9"/>
  <c r="A127" i="6"/>
  <c r="B129" i="3"/>
  <c r="B127" i="9"/>
  <c r="A123" i="6"/>
  <c r="B125" i="3"/>
  <c r="B123" i="9"/>
  <c r="A119" i="6"/>
  <c r="B121" i="3"/>
  <c r="B119" i="9"/>
  <c r="A115" i="6"/>
  <c r="B117" i="3"/>
  <c r="B115" i="9"/>
  <c r="A111" i="6"/>
  <c r="B113" i="3"/>
  <c r="B111" i="9"/>
  <c r="A107" i="6"/>
  <c r="B109" i="3"/>
  <c r="B107" i="9"/>
  <c r="A103" i="6"/>
  <c r="B105" i="3"/>
  <c r="B103" i="9"/>
  <c r="A99" i="6"/>
  <c r="B101" i="3"/>
  <c r="B99" i="9"/>
  <c r="A95" i="6"/>
  <c r="B97" i="3"/>
  <c r="B95" i="9"/>
  <c r="A91" i="6"/>
  <c r="B93" i="3"/>
  <c r="B91" i="9"/>
  <c r="A87" i="6"/>
  <c r="B89" i="3"/>
  <c r="B87" i="9"/>
  <c r="A83" i="6"/>
  <c r="B85" i="3"/>
  <c r="B83" i="9"/>
  <c r="A79" i="6"/>
  <c r="B81" i="3"/>
  <c r="B79" i="9"/>
  <c r="A75" i="6"/>
  <c r="B77" i="3"/>
  <c r="B75" i="9"/>
  <c r="A71" i="6"/>
  <c r="B73" i="3"/>
  <c r="B71" i="9"/>
  <c r="A67" i="6"/>
  <c r="B69" i="3"/>
  <c r="B67" i="9"/>
  <c r="A63" i="6"/>
  <c r="B65" i="3"/>
  <c r="B63" i="9"/>
  <c r="A59" i="6"/>
  <c r="B61" i="3"/>
  <c r="B59" i="9"/>
  <c r="A55" i="6"/>
  <c r="B57" i="3"/>
  <c r="B55" i="9"/>
  <c r="A51" i="6"/>
  <c r="B53" i="3"/>
  <c r="B51" i="9"/>
  <c r="A47" i="6"/>
  <c r="B49" i="3"/>
  <c r="B47" i="9"/>
  <c r="A43" i="6"/>
  <c r="B45" i="3"/>
  <c r="B43" i="9"/>
  <c r="A39" i="6"/>
  <c r="B41" i="3"/>
  <c r="B39" i="9"/>
  <c r="A35" i="6"/>
  <c r="B37" i="3"/>
  <c r="B35" i="9"/>
  <c r="A173" i="6"/>
  <c r="B175" i="3"/>
  <c r="B173" i="9"/>
  <c r="B172" i="3"/>
  <c r="B170" i="9"/>
  <c r="A165" i="6"/>
  <c r="B167" i="3"/>
  <c r="B165" i="9"/>
  <c r="B159" i="3"/>
  <c r="B157" i="9"/>
  <c r="A152" i="6"/>
  <c r="B154" i="3"/>
  <c r="B152" i="9"/>
  <c r="B151" i="3"/>
  <c r="B149" i="9"/>
  <c r="A144" i="6"/>
  <c r="B146" i="3"/>
  <c r="B144" i="9"/>
  <c r="B143" i="3"/>
  <c r="B141" i="9"/>
  <c r="A136" i="6"/>
  <c r="B138" i="3"/>
  <c r="B136" i="9"/>
  <c r="B135" i="3"/>
  <c r="B133" i="9"/>
  <c r="A130" i="6"/>
  <c r="B132" i="3"/>
  <c r="B130" i="9"/>
  <c r="A126" i="6"/>
  <c r="B128" i="3"/>
  <c r="B126" i="9"/>
  <c r="A122" i="6"/>
  <c r="B124" i="3"/>
  <c r="B122" i="9"/>
  <c r="A118" i="6"/>
  <c r="B120" i="3"/>
  <c r="B118" i="9"/>
  <c r="A114" i="6"/>
  <c r="B116" i="3"/>
  <c r="B114" i="9"/>
  <c r="A110" i="6"/>
  <c r="B112" i="3"/>
  <c r="B110" i="9"/>
  <c r="A106" i="6"/>
  <c r="B108" i="3"/>
  <c r="B106" i="9"/>
  <c r="A102" i="6"/>
  <c r="B104" i="3"/>
  <c r="B102" i="9"/>
  <c r="A98" i="6"/>
  <c r="B100" i="3"/>
  <c r="B98" i="9"/>
  <c r="A94" i="6"/>
  <c r="B96" i="3"/>
  <c r="B94" i="9"/>
  <c r="A90" i="6"/>
  <c r="B92" i="3"/>
  <c r="B90" i="9"/>
  <c r="A86" i="6"/>
  <c r="B88" i="3"/>
  <c r="B86" i="9"/>
  <c r="A82" i="6"/>
  <c r="B84" i="3"/>
  <c r="B82" i="9"/>
  <c r="A78" i="6"/>
  <c r="B80" i="3"/>
  <c r="B78" i="9"/>
  <c r="A74" i="6"/>
  <c r="B76" i="3"/>
  <c r="B74" i="9"/>
  <c r="A70" i="6"/>
  <c r="B72" i="3"/>
  <c r="B70" i="9"/>
  <c r="A66" i="6"/>
  <c r="B68" i="3"/>
  <c r="B66" i="9"/>
  <c r="A62" i="6"/>
  <c r="B64" i="3"/>
  <c r="B62" i="9"/>
  <c r="A2" i="6"/>
  <c r="B4" i="3"/>
  <c r="AC173" i="5"/>
  <c r="A167" i="6"/>
  <c r="B169" i="3"/>
  <c r="B167" i="9"/>
  <c r="AC160" i="5"/>
  <c r="A154" i="6"/>
  <c r="B156" i="3"/>
  <c r="B154" i="9"/>
  <c r="AC152" i="5"/>
  <c r="A146" i="6"/>
  <c r="B148" i="3"/>
  <c r="B146" i="9"/>
  <c r="AC144" i="5"/>
  <c r="A138" i="6"/>
  <c r="B140" i="3"/>
  <c r="B138" i="9"/>
  <c r="AC136" i="5"/>
  <c r="A129" i="6"/>
  <c r="B131" i="3"/>
  <c r="B129" i="9"/>
  <c r="A125" i="6"/>
  <c r="B127" i="3"/>
  <c r="B125" i="9"/>
  <c r="A121" i="6"/>
  <c r="B123" i="3"/>
  <c r="B121" i="9"/>
  <c r="A117" i="6"/>
  <c r="B119" i="3"/>
  <c r="B117" i="9"/>
  <c r="A113" i="6"/>
  <c r="B115" i="3"/>
  <c r="B113" i="9"/>
  <c r="A109" i="6"/>
  <c r="B111" i="3"/>
  <c r="B109" i="9"/>
  <c r="A105" i="6"/>
  <c r="B107" i="3"/>
  <c r="B105" i="9"/>
  <c r="A101" i="6"/>
  <c r="B103" i="3"/>
  <c r="B101" i="9"/>
  <c r="A97" i="6"/>
  <c r="B99" i="3"/>
  <c r="B97" i="9"/>
  <c r="A93" i="6"/>
  <c r="B95" i="3"/>
  <c r="B93" i="9"/>
  <c r="A89" i="6"/>
  <c r="B91" i="3"/>
  <c r="B89" i="9"/>
  <c r="A85" i="6"/>
  <c r="B87" i="3"/>
  <c r="B85" i="9"/>
  <c r="A81" i="6"/>
  <c r="B83" i="3"/>
  <c r="B81" i="9"/>
  <c r="A77" i="6"/>
  <c r="B79" i="3"/>
  <c r="B77" i="9"/>
  <c r="A73" i="6"/>
  <c r="B75" i="3"/>
  <c r="B73" i="9"/>
  <c r="A69" i="6"/>
  <c r="B71" i="3"/>
  <c r="B69" i="9"/>
  <c r="A65" i="6"/>
  <c r="B67" i="3"/>
  <c r="B65" i="9"/>
  <c r="A61" i="6"/>
  <c r="B63" i="3"/>
  <c r="B61" i="9"/>
  <c r="A57" i="6"/>
  <c r="B59" i="3"/>
  <c r="B57" i="9"/>
  <c r="A53" i="6"/>
  <c r="B55" i="3"/>
  <c r="B53" i="9"/>
  <c r="A49" i="6"/>
  <c r="B51" i="3"/>
  <c r="B49" i="9"/>
  <c r="A45" i="6"/>
  <c r="B47" i="3"/>
  <c r="B45" i="9"/>
  <c r="A41" i="6"/>
  <c r="B43" i="3"/>
  <c r="B41" i="9"/>
  <c r="A37" i="6"/>
  <c r="B39" i="3"/>
  <c r="B37" i="9"/>
  <c r="A33" i="6"/>
  <c r="B35" i="3"/>
  <c r="B33" i="9"/>
  <c r="B33" i="3"/>
  <c r="B31" i="9"/>
  <c r="B31" i="3"/>
  <c r="B29" i="9"/>
  <c r="B29" i="3"/>
  <c r="B27" i="9"/>
  <c r="B27" i="3"/>
  <c r="B25" i="9"/>
  <c r="B25" i="3"/>
  <c r="B23" i="9"/>
  <c r="B23" i="3"/>
  <c r="B21" i="9"/>
  <c r="B21" i="3"/>
  <c r="B19" i="9"/>
  <c r="AC18" i="5"/>
  <c r="B17" i="6"/>
  <c r="AC16" i="5"/>
  <c r="B15" i="6"/>
  <c r="AC12" i="5"/>
  <c r="AC8" i="5"/>
  <c r="AC6" i="5"/>
  <c r="AC4" i="5"/>
  <c r="B3" i="6"/>
  <c r="F174" i="4"/>
  <c r="AB174" i="4" s="1"/>
  <c r="F172" i="4"/>
  <c r="AB172" i="4" s="1"/>
  <c r="F170" i="4"/>
  <c r="AB170" i="4" s="1"/>
  <c r="F168" i="4"/>
  <c r="F166" i="4"/>
  <c r="AB166" i="4" s="1"/>
  <c r="F159" i="4"/>
  <c r="AB159" i="4" s="1"/>
  <c r="F157" i="4"/>
  <c r="AB157" i="4" s="1"/>
  <c r="F155" i="4"/>
  <c r="F153" i="4"/>
  <c r="AB153" i="4" s="1"/>
  <c r="F151" i="4"/>
  <c r="AB151" i="4" s="1"/>
  <c r="F149" i="4"/>
  <c r="AB149" i="4" s="1"/>
  <c r="F147" i="4"/>
  <c r="AB147" i="4" s="1"/>
  <c r="F145" i="4"/>
  <c r="AB145" i="4" s="1"/>
  <c r="F143" i="4"/>
  <c r="F141" i="4"/>
  <c r="AB141" i="4" s="1"/>
  <c r="F139" i="4"/>
  <c r="F137" i="4"/>
  <c r="AB137" i="4" s="1"/>
  <c r="F135" i="4"/>
  <c r="AB135" i="4" s="1"/>
  <c r="F133" i="4"/>
  <c r="AB133" i="4" s="1"/>
  <c r="F131" i="4"/>
  <c r="H131" i="4" s="1"/>
  <c r="P131" i="4" s="1"/>
  <c r="F129" i="4"/>
  <c r="AB129" i="4" s="1"/>
  <c r="F127" i="4"/>
  <c r="F125" i="4"/>
  <c r="AB125" i="4" s="1"/>
  <c r="F123" i="4"/>
  <c r="F121" i="4"/>
  <c r="AB121" i="4" s="1"/>
  <c r="F119" i="4"/>
  <c r="F117" i="4"/>
  <c r="AB117" i="4" s="1"/>
  <c r="F115" i="4"/>
  <c r="F113" i="4"/>
  <c r="AB113" i="4" s="1"/>
  <c r="F111" i="4"/>
  <c r="AB111" i="4" s="1"/>
  <c r="F109" i="4"/>
  <c r="AB109" i="4" s="1"/>
  <c r="F107" i="4"/>
  <c r="AB107" i="4" s="1"/>
  <c r="F105" i="4"/>
  <c r="AB105" i="4" s="1"/>
  <c r="F103" i="4"/>
  <c r="F101" i="4"/>
  <c r="AB101" i="4" s="1"/>
  <c r="F99" i="4"/>
  <c r="F97" i="4"/>
  <c r="AB97" i="4" s="1"/>
  <c r="F95" i="4"/>
  <c r="AB95" i="4" s="1"/>
  <c r="F93" i="4"/>
  <c r="AB93" i="4" s="1"/>
  <c r="F91" i="4"/>
  <c r="F89" i="4"/>
  <c r="AB89" i="4" s="1"/>
  <c r="F87" i="4"/>
  <c r="F85" i="4"/>
  <c r="AB85" i="4" s="1"/>
  <c r="F83" i="4"/>
  <c r="AB83" i="4" s="1"/>
  <c r="F81" i="4"/>
  <c r="AB81" i="4" s="1"/>
  <c r="F79" i="4"/>
  <c r="F77" i="4"/>
  <c r="AB77" i="4" s="1"/>
  <c r="F75" i="4"/>
  <c r="F73" i="4"/>
  <c r="AB73" i="4" s="1"/>
  <c r="F71" i="4"/>
  <c r="AB71" i="4" s="1"/>
  <c r="F69" i="4"/>
  <c r="AB69" i="4" s="1"/>
  <c r="F67" i="4"/>
  <c r="F65" i="4"/>
  <c r="AB65" i="4" s="1"/>
  <c r="F63" i="4"/>
  <c r="F61" i="4"/>
  <c r="AB61" i="4" s="1"/>
  <c r="F59" i="4"/>
  <c r="F57" i="4"/>
  <c r="AB57" i="4" s="1"/>
  <c r="F55" i="4"/>
  <c r="F53" i="4"/>
  <c r="AB53" i="4" s="1"/>
  <c r="F51" i="4"/>
  <c r="F49" i="4"/>
  <c r="AB49" i="4" s="1"/>
  <c r="F47" i="4"/>
  <c r="F45" i="4"/>
  <c r="AB45" i="4" s="1"/>
  <c r="AB43" i="4"/>
  <c r="F41" i="4"/>
  <c r="AB41" i="4" s="1"/>
  <c r="F39" i="4"/>
  <c r="AB39" i="4" s="1"/>
  <c r="F37" i="4"/>
  <c r="AB37" i="4" s="1"/>
  <c r="F35" i="4"/>
  <c r="AB35" i="4"/>
  <c r="F33" i="4"/>
  <c r="AB33" i="4" s="1"/>
  <c r="F31" i="4"/>
  <c r="AB31" i="4" s="1"/>
  <c r="F29" i="4"/>
  <c r="AB29" i="4" s="1"/>
  <c r="F27" i="4"/>
  <c r="AB27" i="4" s="1"/>
  <c r="F25" i="4"/>
  <c r="AB25" i="4" s="1"/>
  <c r="F23" i="4"/>
  <c r="AB23" i="4" s="1"/>
  <c r="F21" i="4"/>
  <c r="AB21" i="4" s="1"/>
  <c r="F19" i="4"/>
  <c r="AB19" i="4" s="1"/>
  <c r="F17" i="4"/>
  <c r="AB17" i="4" s="1"/>
  <c r="F15" i="4"/>
  <c r="AB15" i="4" s="1"/>
  <c r="F13" i="4"/>
  <c r="AB13" i="4" s="1"/>
  <c r="F11" i="4"/>
  <c r="AB11" i="4" s="1"/>
  <c r="F9" i="4"/>
  <c r="AB9" i="4" s="1"/>
  <c r="F7" i="4"/>
  <c r="AB7" i="4" s="1"/>
  <c r="F5" i="4"/>
  <c r="AB5" i="4" s="1"/>
  <c r="AC14" i="5"/>
  <c r="B60" i="3"/>
  <c r="B58" i="9"/>
  <c r="B58" i="3"/>
  <c r="B56" i="9"/>
  <c r="B56" i="3"/>
  <c r="B54" i="9"/>
  <c r="B54" i="3"/>
  <c r="B52" i="9"/>
  <c r="B52" i="3"/>
  <c r="B50" i="9"/>
  <c r="B50" i="3"/>
  <c r="B48" i="9"/>
  <c r="B48" i="3"/>
  <c r="B46" i="9"/>
  <c r="B46" i="3"/>
  <c r="B44" i="9"/>
  <c r="B44" i="3"/>
  <c r="B42" i="9"/>
  <c r="B42" i="3"/>
  <c r="B40" i="9"/>
  <c r="B40" i="3"/>
  <c r="B38" i="9"/>
  <c r="B38" i="3"/>
  <c r="B36" i="9"/>
  <c r="B36" i="3"/>
  <c r="B34" i="9"/>
  <c r="B34" i="3"/>
  <c r="B32" i="9"/>
  <c r="B32" i="3"/>
  <c r="B30" i="9"/>
  <c r="B30" i="3"/>
  <c r="B28" i="9"/>
  <c r="B28" i="3"/>
  <c r="B26" i="9"/>
  <c r="B26" i="3"/>
  <c r="B24" i="9"/>
  <c r="B24" i="3"/>
  <c r="B22" i="9"/>
  <c r="B22" i="3"/>
  <c r="B20" i="9"/>
  <c r="B20" i="3"/>
  <c r="B18" i="9"/>
  <c r="B18" i="3"/>
  <c r="B16" i="9"/>
  <c r="B16" i="3"/>
  <c r="B14" i="9"/>
  <c r="B14" i="3"/>
  <c r="B12" i="9"/>
  <c r="B12" i="3"/>
  <c r="B10" i="9"/>
  <c r="B10" i="3"/>
  <c r="B8" i="9"/>
  <c r="B8" i="3"/>
  <c r="B6" i="9"/>
  <c r="B6" i="3"/>
  <c r="B4" i="9"/>
  <c r="F3" i="4"/>
  <c r="AB3" i="4" s="1"/>
  <c r="BJ19" i="3"/>
  <c r="BJ9" i="3"/>
  <c r="BI19" i="3"/>
  <c r="BI9" i="3"/>
  <c r="BJ13" i="3"/>
  <c r="BI13" i="3"/>
  <c r="E177" i="4"/>
  <c r="CD178" i="3"/>
  <c r="B5" i="6"/>
  <c r="B172" i="6"/>
  <c r="B151" i="6"/>
  <c r="B11" i="6"/>
  <c r="B159" i="6"/>
  <c r="X9" i="4"/>
  <c r="H17" i="4"/>
  <c r="P17" i="4" s="1"/>
  <c r="H33" i="4"/>
  <c r="P33" i="4" s="1"/>
  <c r="X35" i="4"/>
  <c r="H35" i="4"/>
  <c r="P35" i="4" s="1"/>
  <c r="H43" i="4"/>
  <c r="P43" i="4" s="1"/>
  <c r="X59" i="4"/>
  <c r="H67" i="4"/>
  <c r="P67" i="4" s="1"/>
  <c r="H107" i="4"/>
  <c r="P107" i="4" s="1"/>
  <c r="X123" i="4"/>
  <c r="H147" i="4"/>
  <c r="P147" i="4" s="1"/>
  <c r="X21" i="4"/>
  <c r="H21" i="4"/>
  <c r="P21" i="4" s="1"/>
  <c r="H37" i="4"/>
  <c r="P37" i="4" s="1"/>
  <c r="H45" i="4"/>
  <c r="P45" i="4" s="1"/>
  <c r="X53" i="4"/>
  <c r="H53" i="4"/>
  <c r="P53" i="4" s="1"/>
  <c r="X61" i="4"/>
  <c r="H61" i="4"/>
  <c r="P61" i="4" s="1"/>
  <c r="H69" i="4"/>
  <c r="P69" i="4" s="1"/>
  <c r="H77" i="4"/>
  <c r="P77" i="4" s="1"/>
  <c r="X85" i="4"/>
  <c r="H85" i="4"/>
  <c r="P85" i="4" s="1"/>
  <c r="X93" i="4"/>
  <c r="H93" i="4"/>
  <c r="P93" i="4" s="1"/>
  <c r="H101" i="4"/>
  <c r="P101" i="4" s="1"/>
  <c r="H109" i="4"/>
  <c r="P109" i="4" s="1"/>
  <c r="X117" i="4"/>
  <c r="H117" i="4"/>
  <c r="P117" i="4" s="1"/>
  <c r="X125" i="4"/>
  <c r="H125" i="4"/>
  <c r="P125" i="4" s="1"/>
  <c r="H133" i="4"/>
  <c r="P133" i="4" s="1"/>
  <c r="H141" i="4"/>
  <c r="P141" i="4" s="1"/>
  <c r="X149" i="4"/>
  <c r="H149" i="4"/>
  <c r="P149" i="4" s="1"/>
  <c r="X157" i="4"/>
  <c r="H157" i="4"/>
  <c r="P157" i="4" s="1"/>
  <c r="H170" i="4"/>
  <c r="P170" i="4" s="1"/>
  <c r="X15" i="4"/>
  <c r="H15" i="4"/>
  <c r="P15" i="4" s="1"/>
  <c r="H31" i="4"/>
  <c r="P31" i="4" s="1"/>
  <c r="H39" i="4"/>
  <c r="P39" i="4" s="1"/>
  <c r="B7" i="6"/>
  <c r="B9" i="6"/>
  <c r="B135" i="6"/>
  <c r="B13" i="6"/>
  <c r="B13" i="9"/>
  <c r="B143" i="6"/>
  <c r="B143" i="9"/>
  <c r="B2" i="6"/>
  <c r="B2" i="9"/>
  <c r="B24" i="6"/>
  <c r="AC49" i="5"/>
  <c r="B48" i="6"/>
  <c r="AC32" i="5"/>
  <c r="B31" i="6"/>
  <c r="AC11" i="5"/>
  <c r="B10" i="6"/>
  <c r="AC19" i="5"/>
  <c r="B18" i="6"/>
  <c r="AC27" i="5"/>
  <c r="B26" i="6"/>
  <c r="AC35" i="5"/>
  <c r="B34" i="6"/>
  <c r="AC43" i="5"/>
  <c r="B42" i="6"/>
  <c r="AC51" i="5"/>
  <c r="B50" i="6"/>
  <c r="AC59" i="5"/>
  <c r="B58" i="6"/>
  <c r="AC26" i="5"/>
  <c r="B25" i="6"/>
  <c r="B33" i="6"/>
  <c r="AC34" i="5"/>
  <c r="AC42" i="5"/>
  <c r="B41" i="6"/>
  <c r="B49" i="6"/>
  <c r="AC50" i="5"/>
  <c r="AC58" i="5"/>
  <c r="B57" i="6"/>
  <c r="B65" i="6"/>
  <c r="AC66" i="5"/>
  <c r="AC74" i="5"/>
  <c r="B73" i="6"/>
  <c r="B81" i="6"/>
  <c r="AC82" i="5"/>
  <c r="AC90" i="5"/>
  <c r="B89" i="6"/>
  <c r="AC98" i="5"/>
  <c r="B97" i="6"/>
  <c r="AC106" i="5"/>
  <c r="B105" i="6"/>
  <c r="AC114" i="5"/>
  <c r="B113" i="6"/>
  <c r="AC122" i="5"/>
  <c r="B121" i="6"/>
  <c r="AC130" i="5"/>
  <c r="B129" i="6"/>
  <c r="AC139" i="5"/>
  <c r="B138" i="6"/>
  <c r="AC147" i="5"/>
  <c r="B146" i="6"/>
  <c r="AC155" i="5"/>
  <c r="B154" i="6"/>
  <c r="AC168" i="5"/>
  <c r="B167" i="6"/>
  <c r="AC67" i="5"/>
  <c r="B66" i="6"/>
  <c r="AC75" i="5"/>
  <c r="B74" i="6"/>
  <c r="AC83" i="5"/>
  <c r="B82" i="6"/>
  <c r="AC91" i="5"/>
  <c r="B90" i="6"/>
  <c r="AC99" i="5"/>
  <c r="B98" i="6"/>
  <c r="AC107" i="5"/>
  <c r="B106" i="6"/>
  <c r="AC115" i="5"/>
  <c r="B114" i="6"/>
  <c r="AC123" i="5"/>
  <c r="B122" i="6"/>
  <c r="AC131" i="5"/>
  <c r="B130" i="6"/>
  <c r="B149" i="6"/>
  <c r="AC150" i="5"/>
  <c r="AC166" i="5"/>
  <c r="B165" i="6"/>
  <c r="AC148" i="5"/>
  <c r="B147" i="6"/>
  <c r="AC159" i="5"/>
  <c r="B158" i="6"/>
  <c r="AC141" i="5"/>
  <c r="B140" i="6"/>
  <c r="AC167" i="5"/>
  <c r="B166" i="6"/>
  <c r="B8" i="6"/>
  <c r="AC9" i="5"/>
  <c r="AC33" i="5"/>
  <c r="B32" i="6"/>
  <c r="AC57" i="5"/>
  <c r="B56" i="6"/>
  <c r="AC25" i="5"/>
  <c r="AC5" i="5"/>
  <c r="B4" i="6"/>
  <c r="AC13" i="5"/>
  <c r="B12" i="6"/>
  <c r="AC21" i="5"/>
  <c r="B20" i="6"/>
  <c r="AC29" i="5"/>
  <c r="B28" i="6"/>
  <c r="AC37" i="5"/>
  <c r="B36" i="6"/>
  <c r="AC45" i="5"/>
  <c r="B44" i="6"/>
  <c r="AC53" i="5"/>
  <c r="B52" i="6"/>
  <c r="BI7" i="3"/>
  <c r="BJ7" i="3"/>
  <c r="AC20" i="5"/>
  <c r="B19" i="6"/>
  <c r="AC28" i="5"/>
  <c r="B27" i="6"/>
  <c r="B141" i="6"/>
  <c r="AC142" i="5"/>
  <c r="AC153" i="5"/>
  <c r="B152" i="6"/>
  <c r="AC36" i="5"/>
  <c r="B35" i="6"/>
  <c r="AC44" i="5"/>
  <c r="B43" i="6"/>
  <c r="AC52" i="5"/>
  <c r="B51" i="6"/>
  <c r="AC60" i="5"/>
  <c r="B59" i="6"/>
  <c r="AC68" i="5"/>
  <c r="B67" i="6"/>
  <c r="AC76" i="5"/>
  <c r="B75" i="6"/>
  <c r="AC84" i="5"/>
  <c r="B83" i="6"/>
  <c r="AC92" i="5"/>
  <c r="B91" i="6"/>
  <c r="AC100" i="5"/>
  <c r="B99" i="6"/>
  <c r="AC108" i="5"/>
  <c r="B107" i="6"/>
  <c r="AC116" i="5"/>
  <c r="B115" i="6"/>
  <c r="AC124" i="5"/>
  <c r="B123" i="6"/>
  <c r="AC132" i="5"/>
  <c r="B131" i="6"/>
  <c r="AC140" i="5"/>
  <c r="B139" i="6"/>
  <c r="AC151" i="5"/>
  <c r="B150" i="6"/>
  <c r="AC61" i="5"/>
  <c r="B60" i="6"/>
  <c r="AC69" i="5"/>
  <c r="B68" i="6"/>
  <c r="AC77" i="5"/>
  <c r="B76" i="6"/>
  <c r="AC85" i="5"/>
  <c r="B84" i="6"/>
  <c r="AC93" i="5"/>
  <c r="B92" i="6"/>
  <c r="AC101" i="5"/>
  <c r="B100" i="6"/>
  <c r="AC109" i="5"/>
  <c r="B108" i="6"/>
  <c r="AC117" i="5"/>
  <c r="B116" i="6"/>
  <c r="AC125" i="5"/>
  <c r="B124" i="6"/>
  <c r="AC133" i="5"/>
  <c r="B132" i="6"/>
  <c r="AC154" i="5"/>
  <c r="B153" i="6"/>
  <c r="AC170" i="5"/>
  <c r="B169" i="6"/>
  <c r="AC17" i="5"/>
  <c r="B16" i="6"/>
  <c r="AC41" i="5"/>
  <c r="B40" i="6"/>
  <c r="AC7" i="5"/>
  <c r="B6" i="6"/>
  <c r="AC15" i="5"/>
  <c r="B14" i="6"/>
  <c r="AC23" i="5"/>
  <c r="B22" i="6"/>
  <c r="AC31" i="5"/>
  <c r="B30" i="6"/>
  <c r="AC39" i="5"/>
  <c r="B38" i="6"/>
  <c r="AC47" i="5"/>
  <c r="B46" i="6"/>
  <c r="AC55" i="5"/>
  <c r="B54" i="6"/>
  <c r="AC22" i="5"/>
  <c r="B21" i="6"/>
  <c r="B29" i="6"/>
  <c r="AC30" i="5"/>
  <c r="AC38" i="5"/>
  <c r="B37" i="6"/>
  <c r="B45" i="6"/>
  <c r="AC46" i="5"/>
  <c r="AC54" i="5"/>
  <c r="B53" i="6"/>
  <c r="B61" i="6"/>
  <c r="AC62" i="5"/>
  <c r="AC70" i="5"/>
  <c r="B69" i="6"/>
  <c r="B77" i="6"/>
  <c r="AC78" i="5"/>
  <c r="AC86" i="5"/>
  <c r="B85" i="6"/>
  <c r="B93" i="6"/>
  <c r="AC94" i="5"/>
  <c r="B101" i="6"/>
  <c r="AC102" i="5"/>
  <c r="B109" i="6"/>
  <c r="AC110" i="5"/>
  <c r="B117" i="6"/>
  <c r="AC118" i="5"/>
  <c r="B125" i="6"/>
  <c r="AC126" i="5"/>
  <c r="AC63" i="5"/>
  <c r="B62" i="6"/>
  <c r="AC71" i="5"/>
  <c r="B70" i="6"/>
  <c r="AC79" i="5"/>
  <c r="B78" i="6"/>
  <c r="AC87" i="5"/>
  <c r="B86" i="6"/>
  <c r="AC95" i="5"/>
  <c r="B94" i="6"/>
  <c r="AC103" i="5"/>
  <c r="B102" i="6"/>
  <c r="AC111" i="5"/>
  <c r="B110" i="6"/>
  <c r="AC119" i="5"/>
  <c r="B118" i="6"/>
  <c r="AC127" i="5"/>
  <c r="B126" i="6"/>
  <c r="B133" i="6"/>
  <c r="AC134" i="5"/>
  <c r="AC145" i="5"/>
  <c r="B144" i="6"/>
  <c r="B170" i="6"/>
  <c r="AC171" i="5"/>
  <c r="AC143" i="5"/>
  <c r="B142" i="6"/>
  <c r="AC169" i="5"/>
  <c r="B168" i="6"/>
  <c r="AC146" i="5"/>
  <c r="B145" i="6"/>
  <c r="AC157" i="5"/>
  <c r="B156" i="6"/>
  <c r="AC24" i="5"/>
  <c r="B23" i="6"/>
  <c r="AC137" i="5"/>
  <c r="B136" i="6"/>
  <c r="B157" i="6"/>
  <c r="AC158" i="5"/>
  <c r="AC174" i="5"/>
  <c r="B173" i="6"/>
  <c r="AC40" i="5"/>
  <c r="B39" i="6"/>
  <c r="AC48" i="5"/>
  <c r="B47" i="6"/>
  <c r="AC56" i="5"/>
  <c r="B55" i="6"/>
  <c r="AC64" i="5"/>
  <c r="B63" i="6"/>
  <c r="AC72" i="5"/>
  <c r="B71" i="6"/>
  <c r="AC80" i="5"/>
  <c r="B79" i="6"/>
  <c r="AC88" i="5"/>
  <c r="B87" i="6"/>
  <c r="AC96" i="5"/>
  <c r="B95" i="6"/>
  <c r="AC104" i="5"/>
  <c r="B103" i="6"/>
  <c r="AC112" i="5"/>
  <c r="B111" i="6"/>
  <c r="AC120" i="5"/>
  <c r="B119" i="6"/>
  <c r="AC128" i="5"/>
  <c r="B127" i="6"/>
  <c r="AC135" i="5"/>
  <c r="B134" i="6"/>
  <c r="AC156" i="5"/>
  <c r="B155" i="6"/>
  <c r="AC172" i="5"/>
  <c r="B171" i="6"/>
  <c r="AC65" i="5"/>
  <c r="B64" i="6"/>
  <c r="AC73" i="5"/>
  <c r="B72" i="6"/>
  <c r="AC81" i="5"/>
  <c r="B80" i="6"/>
  <c r="AC89" i="5"/>
  <c r="B88" i="6"/>
  <c r="AC97" i="5"/>
  <c r="B96" i="6"/>
  <c r="AC105" i="5"/>
  <c r="B104" i="6"/>
  <c r="AC113" i="5"/>
  <c r="B112" i="6"/>
  <c r="AC121" i="5"/>
  <c r="B120" i="6"/>
  <c r="AC129" i="5"/>
  <c r="B128" i="6"/>
  <c r="AC138" i="5"/>
  <c r="B137" i="6"/>
  <c r="AC149" i="5"/>
  <c r="B148" i="6"/>
  <c r="AC175" i="5"/>
  <c r="B174" i="6"/>
  <c r="BI32" i="3"/>
  <c r="BJ32" i="3"/>
  <c r="BJ30" i="3"/>
  <c r="BI30" i="3"/>
  <c r="BI18" i="3"/>
  <c r="BJ18" i="3"/>
  <c r="BI34" i="3"/>
  <c r="BJ34" i="3"/>
  <c r="BH178" i="3"/>
  <c r="BI24" i="3"/>
  <c r="BJ24" i="3"/>
  <c r="BI16" i="3"/>
  <c r="BJ16" i="3"/>
  <c r="BI14" i="3"/>
  <c r="BJ14" i="3"/>
  <c r="AC3" i="5"/>
  <c r="BU178" i="3"/>
  <c r="BJ22" i="3"/>
  <c r="BI22" i="3"/>
  <c r="BI8" i="3"/>
  <c r="BJ8" i="3"/>
  <c r="BI6" i="3"/>
  <c r="BJ6" i="3"/>
  <c r="BJ28" i="3"/>
  <c r="BI28" i="3"/>
  <c r="BJ23" i="3"/>
  <c r="BI23" i="3"/>
  <c r="BI10" i="3"/>
  <c r="BJ10" i="3"/>
  <c r="BJ27" i="3"/>
  <c r="BI27" i="3"/>
  <c r="BI33" i="3"/>
  <c r="BJ33" i="3"/>
  <c r="BJ31" i="3"/>
  <c r="BI31" i="3"/>
  <c r="BI21" i="3"/>
  <c r="BJ21" i="3"/>
  <c r="BJ35" i="3"/>
  <c r="BI35" i="3"/>
  <c r="BJ12" i="3"/>
  <c r="BI12" i="3"/>
  <c r="BJ25" i="3"/>
  <c r="BI25" i="3"/>
  <c r="BJ29" i="3"/>
  <c r="BI29" i="3"/>
  <c r="BI20" i="3"/>
  <c r="BJ20" i="3"/>
  <c r="BI26" i="3"/>
  <c r="BJ26" i="3"/>
  <c r="AC177" i="5"/>
  <c r="J177" i="5"/>
  <c r="S177" i="5"/>
  <c r="BK178" i="3"/>
  <c r="G177" i="5"/>
  <c r="CQ20" i="3"/>
  <c r="CQ96" i="3"/>
  <c r="CM66" i="3"/>
  <c r="CM122" i="3"/>
  <c r="CM70" i="3"/>
  <c r="CQ156" i="3"/>
  <c r="CM156" i="3"/>
  <c r="CM157" i="3"/>
  <c r="CM15" i="3"/>
  <c r="CM32" i="3"/>
  <c r="CM17" i="3"/>
  <c r="CM39" i="3"/>
  <c r="CQ21" i="3"/>
  <c r="CQ170" i="3"/>
  <c r="CM82" i="3"/>
  <c r="CM175" i="3"/>
  <c r="CQ175" i="3"/>
  <c r="CM106" i="3"/>
  <c r="CQ171" i="3"/>
  <c r="CM171" i="3"/>
  <c r="CM170" i="3"/>
  <c r="CM115" i="3"/>
  <c r="CM97" i="3"/>
  <c r="CQ13" i="3"/>
  <c r="CQ142" i="3"/>
  <c r="CM154" i="3"/>
  <c r="CQ155" i="3"/>
  <c r="CM113" i="3"/>
  <c r="CM99" i="3"/>
  <c r="CM16" i="3"/>
  <c r="CM57" i="3"/>
  <c r="CM28" i="3"/>
  <c r="CQ146" i="3"/>
  <c r="CQ110" i="3"/>
  <c r="CQ94" i="3"/>
  <c r="CM145" i="3"/>
  <c r="CM138" i="3"/>
  <c r="CM147" i="3"/>
  <c r="CM131" i="3"/>
  <c r="CQ119" i="3"/>
  <c r="CM129" i="3"/>
  <c r="CM88" i="3"/>
  <c r="CQ80" i="3"/>
  <c r="CQ81" i="3"/>
  <c r="CM76" i="3"/>
  <c r="CM68" i="3"/>
  <c r="CM51" i="3"/>
  <c r="CQ61" i="3"/>
  <c r="CM48" i="3"/>
  <c r="CQ45" i="3"/>
  <c r="CM41" i="3"/>
  <c r="CM36" i="3"/>
  <c r="CQ50" i="3"/>
  <c r="CM8" i="3"/>
  <c r="CM21" i="3"/>
  <c r="CM174" i="3"/>
  <c r="CQ167" i="3"/>
  <c r="CL160" i="3"/>
  <c r="CN160" i="3"/>
  <c r="CM133" i="3"/>
  <c r="CQ135" i="3"/>
  <c r="CL105" i="3"/>
  <c r="CN105" i="3"/>
  <c r="CL155" i="3"/>
  <c r="CN155" i="3"/>
  <c r="CL114" i="3"/>
  <c r="CN114" i="3"/>
  <c r="CL107" i="3"/>
  <c r="CN107" i="3"/>
  <c r="CL175" i="3"/>
  <c r="CK175" i="3"/>
  <c r="CN175" i="3"/>
  <c r="CM167" i="3"/>
  <c r="CL134" i="3"/>
  <c r="CN134" i="3"/>
  <c r="CQ103" i="3"/>
  <c r="CL109" i="3"/>
  <c r="CN109" i="3"/>
  <c r="CM173" i="3"/>
  <c r="CL161" i="3"/>
  <c r="CN161" i="3"/>
  <c r="CQ143" i="3"/>
  <c r="CM139" i="3"/>
  <c r="CL138" i="3"/>
  <c r="CN138" i="3"/>
  <c r="CM121" i="3"/>
  <c r="CQ120" i="3"/>
  <c r="CL115" i="3"/>
  <c r="CN115" i="3"/>
  <c r="CQ102" i="3"/>
  <c r="CM98" i="3"/>
  <c r="CL97" i="3"/>
  <c r="CN97" i="3"/>
  <c r="CL90" i="3"/>
  <c r="CN90" i="3"/>
  <c r="CL56" i="3"/>
  <c r="CN56" i="3"/>
  <c r="CL127" i="3"/>
  <c r="CN127" i="3"/>
  <c r="CM117" i="3"/>
  <c r="CL111" i="3"/>
  <c r="CN111" i="3"/>
  <c r="CQ98" i="3"/>
  <c r="CM94" i="3"/>
  <c r="CQ87" i="3"/>
  <c r="CL67" i="3"/>
  <c r="CN67" i="3"/>
  <c r="CM176" i="3"/>
  <c r="CQ173" i="3"/>
  <c r="CR170" i="3"/>
  <c r="CO170" i="3"/>
  <c r="CL168" i="3"/>
  <c r="CN168" i="3"/>
  <c r="CM160" i="3"/>
  <c r="CL159" i="3"/>
  <c r="CN159" i="3"/>
  <c r="CQ154" i="3"/>
  <c r="CM150" i="3"/>
  <c r="CL149" i="3"/>
  <c r="CN149" i="3"/>
  <c r="CQ131" i="3"/>
  <c r="CM127" i="3"/>
  <c r="CL126" i="3"/>
  <c r="CN126" i="3"/>
  <c r="CM109" i="3"/>
  <c r="CQ108" i="3"/>
  <c r="CL103" i="3"/>
  <c r="CN103" i="3"/>
  <c r="CQ85" i="3"/>
  <c r="CL74" i="3"/>
  <c r="CN74" i="3"/>
  <c r="CL51" i="3"/>
  <c r="CN51" i="3"/>
  <c r="CL68" i="3"/>
  <c r="CN68" i="3"/>
  <c r="CQ58" i="3"/>
  <c r="CM45" i="3"/>
  <c r="CL33" i="3"/>
  <c r="CN33" i="3"/>
  <c r="CQ25" i="3"/>
  <c r="CL152" i="3"/>
  <c r="CN152" i="3"/>
  <c r="CM144" i="3"/>
  <c r="CQ141" i="3"/>
  <c r="CL136" i="3"/>
  <c r="CN136" i="3"/>
  <c r="CM128" i="3"/>
  <c r="CQ125" i="3"/>
  <c r="CL120" i="3"/>
  <c r="CN120" i="3"/>
  <c r="CM112" i="3"/>
  <c r="CQ109" i="3"/>
  <c r="CL104" i="3"/>
  <c r="CN104" i="3"/>
  <c r="CM96" i="3"/>
  <c r="CQ93" i="3"/>
  <c r="CM78" i="3"/>
  <c r="CQ77" i="3"/>
  <c r="CL72" i="3"/>
  <c r="CN72" i="3"/>
  <c r="CL61" i="3"/>
  <c r="CN61" i="3"/>
  <c r="CM89" i="3"/>
  <c r="CQ86" i="3"/>
  <c r="CL81" i="3"/>
  <c r="CN81" i="3"/>
  <c r="CM73" i="3"/>
  <c r="CQ70" i="3"/>
  <c r="CQ60" i="3"/>
  <c r="CM56" i="3"/>
  <c r="CL55" i="3"/>
  <c r="CN55" i="3"/>
  <c r="CQ42" i="3"/>
  <c r="CL15" i="3"/>
  <c r="CN15" i="3"/>
  <c r="CQ10" i="3"/>
  <c r="CL31" i="3"/>
  <c r="CN31" i="3"/>
  <c r="CQ37" i="3"/>
  <c r="CM33" i="3"/>
  <c r="CL32" i="3"/>
  <c r="CN32" i="3"/>
  <c r="CQ28" i="3"/>
  <c r="CM23" i="3"/>
  <c r="CL17" i="3"/>
  <c r="CN17" i="3"/>
  <c r="CM12" i="3"/>
  <c r="CL45" i="3"/>
  <c r="CN45" i="3"/>
  <c r="CQ32" i="3"/>
  <c r="CQ30" i="3"/>
  <c r="CM25" i="3"/>
  <c r="CM58" i="3"/>
  <c r="CQ55" i="3"/>
  <c r="CL50" i="3"/>
  <c r="CN50" i="3"/>
  <c r="CM42" i="3"/>
  <c r="CQ39" i="3"/>
  <c r="CL34" i="3"/>
  <c r="CN34" i="3"/>
  <c r="CQ17" i="3"/>
  <c r="CM13" i="3"/>
  <c r="CL12" i="3"/>
  <c r="CN12" i="3"/>
  <c r="CM9" i="3"/>
  <c r="CM11" i="3"/>
  <c r="CQ8" i="3"/>
  <c r="CM30" i="3"/>
  <c r="CQ27" i="3"/>
  <c r="CL22" i="3"/>
  <c r="CN22" i="3"/>
  <c r="CM14" i="3"/>
  <c r="CQ11" i="3"/>
  <c r="CN6" i="3"/>
  <c r="CL6" i="3"/>
  <c r="CM151" i="3"/>
  <c r="CQ144" i="3"/>
  <c r="CL123" i="3"/>
  <c r="CN123" i="3"/>
  <c r="CL170" i="3"/>
  <c r="CN170" i="3"/>
  <c r="CK170" i="3"/>
  <c r="CL130" i="3"/>
  <c r="CN130" i="3"/>
  <c r="CQ172" i="3"/>
  <c r="CL167" i="3"/>
  <c r="CN167" i="3"/>
  <c r="CM159" i="3"/>
  <c r="CM149" i="3"/>
  <c r="CL143" i="3"/>
  <c r="CN143" i="3"/>
  <c r="CL121" i="3"/>
  <c r="CN121" i="3"/>
  <c r="CL87" i="3"/>
  <c r="CN87" i="3"/>
  <c r="CL118" i="3"/>
  <c r="CN118" i="3"/>
  <c r="CM101" i="3"/>
  <c r="CL95" i="3"/>
  <c r="CN95" i="3"/>
  <c r="CL83" i="3"/>
  <c r="CN83" i="3"/>
  <c r="CL4" i="3"/>
  <c r="CN4" i="3"/>
  <c r="CM169" i="3"/>
  <c r="CM155" i="3"/>
  <c r="CL154" i="3"/>
  <c r="CN154" i="3"/>
  <c r="CM137" i="3"/>
  <c r="CQ136" i="3"/>
  <c r="CL131" i="3"/>
  <c r="CN131" i="3"/>
  <c r="CQ118" i="3"/>
  <c r="CM114" i="3"/>
  <c r="CL113" i="3"/>
  <c r="CN113" i="3"/>
  <c r="CQ95" i="3"/>
  <c r="CM91" i="3"/>
  <c r="CQ83" i="3"/>
  <c r="CQ72" i="3"/>
  <c r="CM126" i="3"/>
  <c r="CQ107" i="3"/>
  <c r="CM103" i="3"/>
  <c r="CM172" i="3"/>
  <c r="CQ169" i="3"/>
  <c r="CQ157" i="3"/>
  <c r="CQ147" i="3"/>
  <c r="CM143" i="3"/>
  <c r="CL142" i="3"/>
  <c r="CN142" i="3"/>
  <c r="CM125" i="3"/>
  <c r="CQ124" i="3"/>
  <c r="CL119" i="3"/>
  <c r="CN119" i="3"/>
  <c r="CQ106" i="3"/>
  <c r="CM102" i="3"/>
  <c r="CL101" i="3"/>
  <c r="CN101" i="3"/>
  <c r="CL91" i="3"/>
  <c r="CN91" i="3"/>
  <c r="CM86" i="3"/>
  <c r="CL80" i="3"/>
  <c r="CN80" i="3"/>
  <c r="CM75" i="3"/>
  <c r="CQ69" i="3"/>
  <c r="CQ57" i="3"/>
  <c r="CM52" i="3"/>
  <c r="CL48" i="3"/>
  <c r="CN48" i="3"/>
  <c r="CM67" i="3"/>
  <c r="CL66" i="3"/>
  <c r="CN66" i="3"/>
  <c r="CQ64" i="3"/>
  <c r="CM59" i="3"/>
  <c r="CL53" i="3"/>
  <c r="CN53" i="3"/>
  <c r="CQ38" i="3"/>
  <c r="CQ14" i="3"/>
  <c r="CL158" i="3"/>
  <c r="CN158" i="3"/>
  <c r="CQ153" i="3"/>
  <c r="CL148" i="3"/>
  <c r="CN148" i="3"/>
  <c r="CM140" i="3"/>
  <c r="CQ137" i="3"/>
  <c r="CL132" i="3"/>
  <c r="CN132" i="3"/>
  <c r="CM124" i="3"/>
  <c r="CQ121" i="3"/>
  <c r="CL116" i="3"/>
  <c r="CN116" i="3"/>
  <c r="CM108" i="3"/>
  <c r="CQ105" i="3"/>
  <c r="CL100" i="3"/>
  <c r="CN100" i="3"/>
  <c r="CM92" i="3"/>
  <c r="CL88" i="3"/>
  <c r="CN88" i="3"/>
  <c r="CQ75" i="3"/>
  <c r="CM71" i="3"/>
  <c r="CL70" i="3"/>
  <c r="CN70" i="3"/>
  <c r="CQ65" i="3"/>
  <c r="CQ54" i="3"/>
  <c r="CM85" i="3"/>
  <c r="CQ82" i="3"/>
  <c r="CL77" i="3"/>
  <c r="CN77" i="3"/>
  <c r="CM69" i="3"/>
  <c r="CQ66" i="3"/>
  <c r="CQ53" i="3"/>
  <c r="CM49" i="3"/>
  <c r="CL27" i="3"/>
  <c r="CN27" i="3"/>
  <c r="CL40" i="3"/>
  <c r="CN40" i="3"/>
  <c r="CM31" i="3"/>
  <c r="CL23" i="3"/>
  <c r="CN23" i="3"/>
  <c r="CQ9" i="3"/>
  <c r="CM5" i="3"/>
  <c r="CQ48" i="3"/>
  <c r="CM44" i="3"/>
  <c r="F43" i="5" s="1"/>
  <c r="O43" i="5" s="1"/>
  <c r="CL43" i="3"/>
  <c r="CN43" i="3"/>
  <c r="CL25" i="3"/>
  <c r="CN25" i="3"/>
  <c r="CQ12" i="3"/>
  <c r="CL62" i="3"/>
  <c r="CN62" i="3"/>
  <c r="CM54" i="3"/>
  <c r="CQ51" i="3"/>
  <c r="CL46" i="3"/>
  <c r="CN46" i="3"/>
  <c r="CM38" i="3"/>
  <c r="CQ35" i="3"/>
  <c r="CM29" i="3"/>
  <c r="CL28" i="3"/>
  <c r="CN28" i="3"/>
  <c r="CL9" i="3"/>
  <c r="CN9" i="3"/>
  <c r="CM7" i="3"/>
  <c r="CM26" i="3"/>
  <c r="CQ23" i="3"/>
  <c r="CL18" i="3"/>
  <c r="CN18" i="3"/>
  <c r="CM10" i="3"/>
  <c r="CQ7" i="3"/>
  <c r="CQ168" i="3"/>
  <c r="CL75" i="3"/>
  <c r="CN75" i="3"/>
  <c r="CL153" i="3"/>
  <c r="CN153" i="3"/>
  <c r="CQ128" i="3"/>
  <c r="CL146" i="3"/>
  <c r="CN146" i="3"/>
  <c r="CL150" i="3"/>
  <c r="CN150" i="3"/>
  <c r="CM142" i="3"/>
  <c r="CQ139" i="3"/>
  <c r="CM135" i="3"/>
  <c r="CQ126" i="3"/>
  <c r="CL76" i="3"/>
  <c r="CN76" i="3"/>
  <c r="CQ114" i="3"/>
  <c r="CM110" i="3"/>
  <c r="CL82" i="3"/>
  <c r="CN82" i="3"/>
  <c r="CR175" i="3"/>
  <c r="CO175" i="3"/>
  <c r="CL173" i="3"/>
  <c r="CN173" i="3"/>
  <c r="CM161" i="3"/>
  <c r="CL157" i="3"/>
  <c r="CN157" i="3"/>
  <c r="CM153" i="3"/>
  <c r="CQ152" i="3"/>
  <c r="CL147" i="3"/>
  <c r="CN147" i="3"/>
  <c r="CQ134" i="3"/>
  <c r="CM130" i="3"/>
  <c r="CL129" i="3"/>
  <c r="CN129" i="3"/>
  <c r="CQ111" i="3"/>
  <c r="CM107" i="3"/>
  <c r="CL106" i="3"/>
  <c r="CN106" i="3"/>
  <c r="CQ89" i="3"/>
  <c r="CL78" i="3"/>
  <c r="CN78" i="3"/>
  <c r="CQ132" i="3"/>
  <c r="CQ116" i="3"/>
  <c r="CL93" i="3"/>
  <c r="CN93" i="3"/>
  <c r="CM84" i="3"/>
  <c r="CQ76" i="3"/>
  <c r="CL71" i="3"/>
  <c r="CN71" i="3"/>
  <c r="CL176" i="3"/>
  <c r="CN176" i="3"/>
  <c r="CM168" i="3"/>
  <c r="CM141" i="3"/>
  <c r="CQ140" i="3"/>
  <c r="CL135" i="3"/>
  <c r="CN135" i="3"/>
  <c r="CQ122" i="3"/>
  <c r="CM118" i="3"/>
  <c r="CL117" i="3"/>
  <c r="CN117" i="3"/>
  <c r="CQ99" i="3"/>
  <c r="CM95" i="3"/>
  <c r="CL94" i="3"/>
  <c r="CN94" i="3"/>
  <c r="CQ73" i="3"/>
  <c r="CQ49" i="3"/>
  <c r="CQ67" i="3"/>
  <c r="CL63" i="3"/>
  <c r="CN63" i="3"/>
  <c r="CL52" i="3"/>
  <c r="CN52" i="3"/>
  <c r="CL47" i="3"/>
  <c r="CN47" i="3"/>
  <c r="CL35" i="3"/>
  <c r="CN35" i="3"/>
  <c r="CL59" i="3"/>
  <c r="CN59" i="3"/>
  <c r="CQ159" i="3"/>
  <c r="CR156" i="3"/>
  <c r="CO156" i="3"/>
  <c r="CM152" i="3"/>
  <c r="CQ149" i="3"/>
  <c r="CL144" i="3"/>
  <c r="CN144" i="3"/>
  <c r="CM136" i="3"/>
  <c r="CQ133" i="3"/>
  <c r="CL128" i="3"/>
  <c r="CN128" i="3"/>
  <c r="CM120" i="3"/>
  <c r="CQ117" i="3"/>
  <c r="CL112" i="3"/>
  <c r="CN112" i="3"/>
  <c r="CM104" i="3"/>
  <c r="CQ101" i="3"/>
  <c r="CL96" i="3"/>
  <c r="CN96" i="3"/>
  <c r="CQ91" i="3"/>
  <c r="CM87" i="3"/>
  <c r="CL86" i="3"/>
  <c r="CN86" i="3"/>
  <c r="CQ68" i="3"/>
  <c r="CL60" i="3"/>
  <c r="CN60" i="3"/>
  <c r="CM55" i="3"/>
  <c r="CL49" i="3"/>
  <c r="CN49" i="3"/>
  <c r="CL89" i="3"/>
  <c r="CN89" i="3"/>
  <c r="CM81" i="3"/>
  <c r="CQ78" i="3"/>
  <c r="CL73" i="3"/>
  <c r="CN73" i="3"/>
  <c r="CM65" i="3"/>
  <c r="CL64" i="3"/>
  <c r="CN64" i="3"/>
  <c r="CM43" i="3"/>
  <c r="CL37" i="3"/>
  <c r="CN37" i="3"/>
  <c r="CQ36" i="3"/>
  <c r="CL20" i="3"/>
  <c r="CN20" i="3"/>
  <c r="CM47" i="3"/>
  <c r="CQ46" i="3"/>
  <c r="CL41" i="3"/>
  <c r="CN41" i="3"/>
  <c r="CL29" i="3"/>
  <c r="CN29" i="3"/>
  <c r="CM24" i="3"/>
  <c r="CQ16" i="3"/>
  <c r="CQ5" i="3"/>
  <c r="CQ41" i="3"/>
  <c r="CM37" i="3"/>
  <c r="CL36" i="3"/>
  <c r="CN36" i="3"/>
  <c r="CQ29" i="3"/>
  <c r="CQ18" i="3"/>
  <c r="CL8" i="3"/>
  <c r="CN8" i="3"/>
  <c r="CQ63" i="3"/>
  <c r="CL58" i="3"/>
  <c r="CN58" i="3"/>
  <c r="CM50" i="3"/>
  <c r="CQ47" i="3"/>
  <c r="CL42" i="3"/>
  <c r="CN42" i="3"/>
  <c r="CM34" i="3"/>
  <c r="CM27" i="3"/>
  <c r="CQ26" i="3"/>
  <c r="CL21" i="3"/>
  <c r="CN21" i="3"/>
  <c r="CQ6" i="3"/>
  <c r="CL11" i="3"/>
  <c r="CN11" i="3"/>
  <c r="CL30" i="3"/>
  <c r="CN30" i="3"/>
  <c r="CM22" i="3"/>
  <c r="CQ19" i="3"/>
  <c r="CL14" i="3"/>
  <c r="CN14" i="3"/>
  <c r="CM6" i="3"/>
  <c r="CL137" i="3"/>
  <c r="CN137" i="3"/>
  <c r="CQ112" i="3"/>
  <c r="CL174" i="3"/>
  <c r="CN174" i="3"/>
  <c r="CL139" i="3"/>
  <c r="CN139" i="3"/>
  <c r="CQ151" i="3"/>
  <c r="CQ176" i="3"/>
  <c r="CL171" i="3"/>
  <c r="CK171" i="3"/>
  <c r="CN171" i="3"/>
  <c r="CL141" i="3"/>
  <c r="CN141" i="3"/>
  <c r="CQ158" i="3"/>
  <c r="CQ148" i="3"/>
  <c r="CL98" i="3"/>
  <c r="CN98" i="3"/>
  <c r="CQ130" i="3"/>
  <c r="CQ123" i="3"/>
  <c r="CM119" i="3"/>
  <c r="CQ100" i="3"/>
  <c r="CM72" i="3"/>
  <c r="CM4" i="3"/>
  <c r="CQ174" i="3"/>
  <c r="CR171" i="3"/>
  <c r="CO171" i="3"/>
  <c r="CL169" i="3"/>
  <c r="CN169" i="3"/>
  <c r="CQ160" i="3"/>
  <c r="CQ150" i="3"/>
  <c r="CM146" i="3"/>
  <c r="CL145" i="3"/>
  <c r="CN145" i="3"/>
  <c r="CQ127" i="3"/>
  <c r="CM123" i="3"/>
  <c r="CL122" i="3"/>
  <c r="CN122" i="3"/>
  <c r="CM105" i="3"/>
  <c r="CQ104" i="3"/>
  <c r="CL99" i="3"/>
  <c r="CN99" i="3"/>
  <c r="CM90" i="3"/>
  <c r="CL84" i="3"/>
  <c r="CN84" i="3"/>
  <c r="CM79" i="3"/>
  <c r="CQ71" i="3"/>
  <c r="CL125" i="3"/>
  <c r="CN125" i="3"/>
  <c r="CL102" i="3"/>
  <c r="CN102" i="3"/>
  <c r="CQ88" i="3"/>
  <c r="CM83" i="3"/>
  <c r="CQ4" i="3"/>
  <c r="CL172" i="3"/>
  <c r="CN172" i="3"/>
  <c r="CQ161" i="3"/>
  <c r="CL156" i="3"/>
  <c r="CN156" i="3"/>
  <c r="CK156" i="3"/>
  <c r="CL151" i="3"/>
  <c r="CN151" i="3"/>
  <c r="CQ138" i="3"/>
  <c r="CM134" i="3"/>
  <c r="CL133" i="3"/>
  <c r="CN133" i="3"/>
  <c r="CQ115" i="3"/>
  <c r="CM111" i="3"/>
  <c r="CL110" i="3"/>
  <c r="CN110" i="3"/>
  <c r="CM93" i="3"/>
  <c r="CQ92" i="3"/>
  <c r="CQ79" i="3"/>
  <c r="CM74" i="3"/>
  <c r="CM64" i="3"/>
  <c r="CQ56" i="3"/>
  <c r="CM53" i="3"/>
  <c r="CQ40" i="3"/>
  <c r="CL65" i="3"/>
  <c r="CN65" i="3"/>
  <c r="CM60" i="3"/>
  <c r="CQ52" i="3"/>
  <c r="CM158" i="3"/>
  <c r="CM148" i="3"/>
  <c r="CQ145" i="3"/>
  <c r="CL140" i="3"/>
  <c r="CN140" i="3"/>
  <c r="CM132" i="3"/>
  <c r="CQ129" i="3"/>
  <c r="CL124" i="3"/>
  <c r="CN124" i="3"/>
  <c r="CM116" i="3"/>
  <c r="CQ113" i="3"/>
  <c r="CL108" i="3"/>
  <c r="CN108" i="3"/>
  <c r="CM100" i="3"/>
  <c r="CQ97" i="3"/>
  <c r="CL92" i="3"/>
  <c r="CN92" i="3"/>
  <c r="CQ84" i="3"/>
  <c r="CM80" i="3"/>
  <c r="CL79" i="3"/>
  <c r="CN79" i="3"/>
  <c r="CM61" i="3"/>
  <c r="CL44" i="3"/>
  <c r="CN44" i="3"/>
  <c r="CQ90" i="3"/>
  <c r="CL85" i="3"/>
  <c r="CN85" i="3"/>
  <c r="CM77" i="3"/>
  <c r="CQ74" i="3"/>
  <c r="CL69" i="3"/>
  <c r="CN69" i="3"/>
  <c r="CM63" i="3"/>
  <c r="CQ62" i="3"/>
  <c r="CL57" i="3"/>
  <c r="CN57" i="3"/>
  <c r="CQ33" i="3"/>
  <c r="CL16" i="3"/>
  <c r="CN16" i="3"/>
  <c r="CL5" i="3"/>
  <c r="CN5" i="3"/>
  <c r="CQ44" i="3"/>
  <c r="CM40" i="3"/>
  <c r="CL39" i="3"/>
  <c r="CN39" i="3"/>
  <c r="CQ22" i="3"/>
  <c r="CM35" i="3"/>
  <c r="CQ34" i="3"/>
  <c r="CL24" i="3"/>
  <c r="CN24" i="3"/>
  <c r="CM19" i="3"/>
  <c r="CL13" i="3"/>
  <c r="CN13" i="3"/>
  <c r="CM62" i="3"/>
  <c r="CQ59" i="3"/>
  <c r="CL54" i="3"/>
  <c r="CN54" i="3"/>
  <c r="CM46" i="3"/>
  <c r="CQ43" i="3"/>
  <c r="CL38" i="3"/>
  <c r="CN38" i="3"/>
  <c r="CQ24" i="3"/>
  <c r="CM20" i="3"/>
  <c r="CL19" i="3"/>
  <c r="CN19" i="3"/>
  <c r="CL7" i="3"/>
  <c r="CN7" i="3"/>
  <c r="CQ31" i="3"/>
  <c r="CL26" i="3"/>
  <c r="CN26" i="3"/>
  <c r="CM18" i="3"/>
  <c r="CQ15" i="3"/>
  <c r="CL10" i="3"/>
  <c r="CN10" i="3"/>
  <c r="CL178" i="3"/>
  <c r="CM178" i="3"/>
  <c r="L157" i="6"/>
  <c r="J95" i="6"/>
  <c r="N95" i="6"/>
  <c r="L95" i="6"/>
  <c r="U154" i="6"/>
  <c r="J102" i="6"/>
  <c r="L138" i="6"/>
  <c r="J138" i="6"/>
  <c r="N138" i="6"/>
  <c r="N112" i="6"/>
  <c r="L118" i="6"/>
  <c r="J118" i="6"/>
  <c r="N118" i="6"/>
  <c r="J131" i="6"/>
  <c r="L106" i="6"/>
  <c r="J106" i="6"/>
  <c r="N106" i="6"/>
  <c r="J62" i="6"/>
  <c r="CK174" i="3"/>
  <c r="CR174" i="3"/>
  <c r="CO174" i="3"/>
  <c r="CK176" i="3"/>
  <c r="CR176" i="3"/>
  <c r="CO176" i="3"/>
  <c r="CR169" i="3"/>
  <c r="CO169" i="3"/>
  <c r="CK169" i="3"/>
  <c r="CO168" i="3"/>
  <c r="CR168" i="3"/>
  <c r="CK168" i="3"/>
  <c r="CR173" i="3"/>
  <c r="CO173" i="3"/>
  <c r="CK173" i="3"/>
  <c r="CK172" i="3"/>
  <c r="CO172" i="3"/>
  <c r="CR172" i="3"/>
  <c r="CO154" i="3"/>
  <c r="CK154" i="3"/>
  <c r="CR154" i="3"/>
  <c r="CK142" i="3"/>
  <c r="CO142" i="3"/>
  <c r="CR142" i="3"/>
  <c r="CO130" i="3"/>
  <c r="CR130" i="3"/>
  <c r="CK130" i="3"/>
  <c r="CO118" i="3"/>
  <c r="CK118" i="3"/>
  <c r="CR118" i="3"/>
  <c r="CO106" i="3"/>
  <c r="F104" i="6" s="1"/>
  <c r="CK106" i="3"/>
  <c r="CR106" i="3"/>
  <c r="CK94" i="3"/>
  <c r="CR94" i="3"/>
  <c r="CO94" i="3"/>
  <c r="CO82" i="3"/>
  <c r="CK82" i="3"/>
  <c r="CR82" i="3"/>
  <c r="CO70" i="3"/>
  <c r="CR70" i="3"/>
  <c r="CK70" i="3"/>
  <c r="CK58" i="3"/>
  <c r="CO58" i="3"/>
  <c r="CR58" i="3"/>
  <c r="CK50" i="3"/>
  <c r="CO50" i="3"/>
  <c r="CR50" i="3"/>
  <c r="CO38" i="3"/>
  <c r="CR38" i="3"/>
  <c r="CK38" i="3"/>
  <c r="CO26" i="3"/>
  <c r="CR26" i="3"/>
  <c r="CK26" i="3"/>
  <c r="CR14" i="3"/>
  <c r="CK14" i="3"/>
  <c r="CO14" i="3"/>
  <c r="CK167" i="3"/>
  <c r="CR167" i="3"/>
  <c r="CO167" i="3"/>
  <c r="CR158" i="3"/>
  <c r="CK158" i="3"/>
  <c r="CO158" i="3"/>
  <c r="CR153" i="3"/>
  <c r="CK153" i="3"/>
  <c r="CO153" i="3"/>
  <c r="CK149" i="3"/>
  <c r="CR149" i="3"/>
  <c r="CO149" i="3"/>
  <c r="CR145" i="3"/>
  <c r="CO145" i="3"/>
  <c r="CK145" i="3"/>
  <c r="CR141" i="3"/>
  <c r="CO141" i="3"/>
  <c r="CK141" i="3"/>
  <c r="CR137" i="3"/>
  <c r="CO137" i="3"/>
  <c r="CK137" i="3"/>
  <c r="CO133" i="3"/>
  <c r="CK133" i="3"/>
  <c r="CR133" i="3"/>
  <c r="CR129" i="3"/>
  <c r="CK129" i="3"/>
  <c r="CO129" i="3"/>
  <c r="CR125" i="3"/>
  <c r="CO125" i="3"/>
  <c r="CK125" i="3"/>
  <c r="CK121" i="3"/>
  <c r="CO121" i="3"/>
  <c r="CR121" i="3"/>
  <c r="CR117" i="3"/>
  <c r="CO117" i="3"/>
  <c r="CK117" i="3"/>
  <c r="CO113" i="3"/>
  <c r="F111" i="9" s="1"/>
  <c r="CR113" i="3"/>
  <c r="CK113" i="3"/>
  <c r="CR109" i="3"/>
  <c r="CK109" i="3"/>
  <c r="CO109" i="3"/>
  <c r="F107" i="9" s="1"/>
  <c r="CO105" i="3"/>
  <c r="CR105" i="3"/>
  <c r="CK105" i="3"/>
  <c r="CO101" i="3"/>
  <c r="CR101" i="3"/>
  <c r="CK101" i="3"/>
  <c r="CK97" i="3"/>
  <c r="CO97" i="3"/>
  <c r="CR97" i="3"/>
  <c r="CO93" i="3"/>
  <c r="CK93" i="3"/>
  <c r="CR93" i="3"/>
  <c r="CO89" i="3"/>
  <c r="CK89" i="3"/>
  <c r="CR89" i="3"/>
  <c r="CO85" i="3"/>
  <c r="F83" i="9" s="1"/>
  <c r="CR85" i="3"/>
  <c r="CK85" i="3"/>
  <c r="CO81" i="3"/>
  <c r="CR81" i="3"/>
  <c r="CK81" i="3"/>
  <c r="CK77" i="3"/>
  <c r="CO77" i="3"/>
  <c r="CR77" i="3"/>
  <c r="CR73" i="3"/>
  <c r="CK73" i="3"/>
  <c r="CO73" i="3"/>
  <c r="CO69" i="3"/>
  <c r="CR69" i="3"/>
  <c r="CK69" i="3"/>
  <c r="CO65" i="3"/>
  <c r="CR65" i="3"/>
  <c r="CK65" i="3"/>
  <c r="CK61" i="3"/>
  <c r="CO61" i="3"/>
  <c r="F59" i="6" s="1"/>
  <c r="CR61" i="3"/>
  <c r="CO57" i="3"/>
  <c r="CK57" i="3"/>
  <c r="CR57" i="3"/>
  <c r="CK53" i="3"/>
  <c r="CO53" i="3"/>
  <c r="CR53" i="3"/>
  <c r="CK49" i="3"/>
  <c r="CR49" i="3"/>
  <c r="CO49" i="3"/>
  <c r="F47" i="6" s="1"/>
  <c r="CK45" i="3"/>
  <c r="CR45" i="3"/>
  <c r="CO45" i="3"/>
  <c r="F43" i="9" s="1"/>
  <c r="CO41" i="3"/>
  <c r="CK41" i="3"/>
  <c r="CR41" i="3"/>
  <c r="CK37" i="3"/>
  <c r="CO37" i="3"/>
  <c r="F35" i="6" s="1"/>
  <c r="CR37" i="3"/>
  <c r="CK33" i="3"/>
  <c r="CO33" i="3"/>
  <c r="CR33" i="3"/>
  <c r="CO29" i="3"/>
  <c r="F27" i="9" s="1"/>
  <c r="CR29" i="3"/>
  <c r="CK29" i="3"/>
  <c r="CO25" i="3"/>
  <c r="CK25" i="3"/>
  <c r="CR25" i="3"/>
  <c r="CO21" i="3"/>
  <c r="CR21" i="3"/>
  <c r="CK21" i="3"/>
  <c r="CK17" i="3"/>
  <c r="CO17" i="3"/>
  <c r="F15" i="6" s="1"/>
  <c r="CR17" i="3"/>
  <c r="CO13" i="3"/>
  <c r="CR13" i="3"/>
  <c r="CK13" i="3"/>
  <c r="CK9" i="3"/>
  <c r="CO9" i="3"/>
  <c r="CR9" i="3"/>
  <c r="CO5" i="3"/>
  <c r="CK5" i="3"/>
  <c r="CR5" i="3"/>
  <c r="CO159" i="3"/>
  <c r="CR159" i="3"/>
  <c r="CK159" i="3"/>
  <c r="CR146" i="3"/>
  <c r="CK146" i="3"/>
  <c r="CO146" i="3"/>
  <c r="CK134" i="3"/>
  <c r="CR134" i="3"/>
  <c r="CO134" i="3"/>
  <c r="CR122" i="3"/>
  <c r="CO122" i="3"/>
  <c r="CK122" i="3"/>
  <c r="CK110" i="3"/>
  <c r="CO110" i="3"/>
  <c r="F108" i="6" s="1"/>
  <c r="CR110" i="3"/>
  <c r="CO98" i="3"/>
  <c r="F96" i="9" s="1"/>
  <c r="CR98" i="3"/>
  <c r="CK98" i="3"/>
  <c r="CR86" i="3"/>
  <c r="CK86" i="3"/>
  <c r="CO86" i="3"/>
  <c r="F84" i="9" s="1"/>
  <c r="CR74" i="3"/>
  <c r="CO74" i="3"/>
  <c r="CK74" i="3"/>
  <c r="CK62" i="3"/>
  <c r="CR62" i="3"/>
  <c r="CO62" i="3"/>
  <c r="CO46" i="3"/>
  <c r="CR46" i="3"/>
  <c r="CK46" i="3"/>
  <c r="CR30" i="3"/>
  <c r="CK30" i="3"/>
  <c r="CO30" i="3"/>
  <c r="CO18" i="3"/>
  <c r="CK18" i="3"/>
  <c r="CR18" i="3"/>
  <c r="CO6" i="3"/>
  <c r="CK6" i="3"/>
  <c r="CR6" i="3"/>
  <c r="CO161" i="3"/>
  <c r="CK161" i="3"/>
  <c r="CR161" i="3"/>
  <c r="CR152" i="3"/>
  <c r="CO152" i="3"/>
  <c r="CK152" i="3"/>
  <c r="CK148" i="3"/>
  <c r="CR148" i="3"/>
  <c r="CO148" i="3"/>
  <c r="CK144" i="3"/>
  <c r="CR144" i="3"/>
  <c r="CO144" i="3"/>
  <c r="CR140" i="3"/>
  <c r="CO140" i="3"/>
  <c r="CK140" i="3"/>
  <c r="CR136" i="3"/>
  <c r="CK136" i="3"/>
  <c r="CO136" i="3"/>
  <c r="CK132" i="3"/>
  <c r="CO132" i="3"/>
  <c r="CR132" i="3"/>
  <c r="CR128" i="3"/>
  <c r="CO128" i="3"/>
  <c r="CK128" i="3"/>
  <c r="CR124" i="3"/>
  <c r="CO124" i="3"/>
  <c r="CK124" i="3"/>
  <c r="CK120" i="3"/>
  <c r="CO120" i="3"/>
  <c r="CR120" i="3"/>
  <c r="CR116" i="3"/>
  <c r="CK116" i="3"/>
  <c r="CO116" i="3"/>
  <c r="F114" i="6" s="1"/>
  <c r="CK112" i="3"/>
  <c r="CO112" i="3"/>
  <c r="CR112" i="3"/>
  <c r="CR108" i="3"/>
  <c r="CK108" i="3"/>
  <c r="CO108" i="3"/>
  <c r="CO104" i="3"/>
  <c r="CK104" i="3"/>
  <c r="CR104" i="3"/>
  <c r="CO100" i="3"/>
  <c r="CK100" i="3"/>
  <c r="CR100" i="3"/>
  <c r="CR96" i="3"/>
  <c r="CK96" i="3"/>
  <c r="CO96" i="3"/>
  <c r="CR92" i="3"/>
  <c r="CO92" i="3"/>
  <c r="CK92" i="3"/>
  <c r="CR88" i="3"/>
  <c r="CK88" i="3"/>
  <c r="CO88" i="3"/>
  <c r="CO84" i="3"/>
  <c r="CR84" i="3"/>
  <c r="CK84" i="3"/>
  <c r="CK80" i="3"/>
  <c r="CO80" i="3"/>
  <c r="CR80" i="3"/>
  <c r="CR76" i="3"/>
  <c r="CK76" i="3"/>
  <c r="CO76" i="3"/>
  <c r="CK72" i="3"/>
  <c r="CR72" i="3"/>
  <c r="CO72" i="3"/>
  <c r="CK68" i="3"/>
  <c r="CR68" i="3"/>
  <c r="CO68" i="3"/>
  <c r="CO64" i="3"/>
  <c r="CR64" i="3"/>
  <c r="CK64" i="3"/>
  <c r="CK60" i="3"/>
  <c r="CO60" i="3"/>
  <c r="CR60" i="3"/>
  <c r="CR56" i="3"/>
  <c r="CK56" i="3"/>
  <c r="CO56" i="3"/>
  <c r="CO52" i="3"/>
  <c r="F50" i="6" s="1"/>
  <c r="CR52" i="3"/>
  <c r="CK52" i="3"/>
  <c r="CK48" i="3"/>
  <c r="CO48" i="3"/>
  <c r="CR48" i="3"/>
  <c r="CO44" i="3"/>
  <c r="F42" i="6" s="1"/>
  <c r="CK44" i="3"/>
  <c r="CK178" i="3" s="1"/>
  <c r="CR44" i="3"/>
  <c r="CK40" i="3"/>
  <c r="CR40" i="3"/>
  <c r="CO40" i="3"/>
  <c r="CR36" i="3"/>
  <c r="CO36" i="3"/>
  <c r="CK36" i="3"/>
  <c r="CO28" i="3"/>
  <c r="CR28" i="3"/>
  <c r="CK28" i="3"/>
  <c r="CO24" i="3"/>
  <c r="CK24" i="3"/>
  <c r="CR24" i="3"/>
  <c r="CR20" i="3"/>
  <c r="CK20" i="3"/>
  <c r="CO20" i="3"/>
  <c r="CK16" i="3"/>
  <c r="CR16" i="3"/>
  <c r="CO16" i="3"/>
  <c r="CK12" i="3"/>
  <c r="CR12" i="3"/>
  <c r="CO12" i="3"/>
  <c r="CO8" i="3"/>
  <c r="CR8" i="3"/>
  <c r="CK8" i="3"/>
  <c r="CK4" i="3"/>
  <c r="CO4" i="3"/>
  <c r="CR4" i="3"/>
  <c r="CK150" i="3"/>
  <c r="CR150" i="3"/>
  <c r="CO150" i="3"/>
  <c r="CK138" i="3"/>
  <c r="CR138" i="3"/>
  <c r="CO138" i="3"/>
  <c r="CK126" i="3"/>
  <c r="CR126" i="3"/>
  <c r="CO126" i="3"/>
  <c r="CK114" i="3"/>
  <c r="CO114" i="3"/>
  <c r="CR114" i="3"/>
  <c r="CR102" i="3"/>
  <c r="CK102" i="3"/>
  <c r="CO102" i="3"/>
  <c r="CO90" i="3"/>
  <c r="CK90" i="3"/>
  <c r="CR90" i="3"/>
  <c r="CR78" i="3"/>
  <c r="CK78" i="3"/>
  <c r="CO78" i="3"/>
  <c r="CO66" i="3"/>
  <c r="CR66" i="3"/>
  <c r="CK66" i="3"/>
  <c r="CR54" i="3"/>
  <c r="CO54" i="3"/>
  <c r="CK54" i="3"/>
  <c r="CR42" i="3"/>
  <c r="CO42" i="3"/>
  <c r="CK42" i="3"/>
  <c r="CK34" i="3"/>
  <c r="CR34" i="3"/>
  <c r="CO34" i="3"/>
  <c r="CK22" i="3"/>
  <c r="CO22" i="3"/>
  <c r="CR22" i="3"/>
  <c r="CR10" i="3"/>
  <c r="CO10" i="3"/>
  <c r="F8" i="6" s="1"/>
  <c r="CK10" i="3"/>
  <c r="CR157" i="3"/>
  <c r="CO157" i="3"/>
  <c r="CK157" i="3"/>
  <c r="CK160" i="3"/>
  <c r="CR160" i="3"/>
  <c r="CO160" i="3"/>
  <c r="CR155" i="3"/>
  <c r="CO155" i="3"/>
  <c r="CK155" i="3"/>
  <c r="CR151" i="3"/>
  <c r="CK151" i="3"/>
  <c r="CO151" i="3"/>
  <c r="CR147" i="3"/>
  <c r="CK147" i="3"/>
  <c r="CO147" i="3"/>
  <c r="CR143" i="3"/>
  <c r="CO143" i="3"/>
  <c r="CK143" i="3"/>
  <c r="CO139" i="3"/>
  <c r="CR139" i="3"/>
  <c r="CK139" i="3"/>
  <c r="CO135" i="3"/>
  <c r="CK135" i="3"/>
  <c r="CR135" i="3"/>
  <c r="CR131" i="3"/>
  <c r="CK131" i="3"/>
  <c r="CO131" i="3"/>
  <c r="CO127" i="3"/>
  <c r="CK127" i="3"/>
  <c r="CR127" i="3"/>
  <c r="CK123" i="3"/>
  <c r="CR123" i="3"/>
  <c r="CO123" i="3"/>
  <c r="CO119" i="3"/>
  <c r="CR119" i="3"/>
  <c r="CK119" i="3"/>
  <c r="CK115" i="3"/>
  <c r="CR115" i="3"/>
  <c r="CO115" i="3"/>
  <c r="CO111" i="3"/>
  <c r="CK111" i="3"/>
  <c r="CR111" i="3"/>
  <c r="CK107" i="3"/>
  <c r="CO107" i="3"/>
  <c r="F105" i="9" s="1"/>
  <c r="CR107" i="3"/>
  <c r="CK103" i="3"/>
  <c r="CR103" i="3"/>
  <c r="CO103" i="3"/>
  <c r="F101" i="9" s="1"/>
  <c r="CO99" i="3"/>
  <c r="CK99" i="3"/>
  <c r="CR99" i="3"/>
  <c r="CK95" i="3"/>
  <c r="CR95" i="3"/>
  <c r="CO95" i="3"/>
  <c r="CO91" i="3"/>
  <c r="F89" i="6" s="1"/>
  <c r="CK91" i="3"/>
  <c r="CR91" i="3"/>
  <c r="CK87" i="3"/>
  <c r="CO87" i="3"/>
  <c r="CR87" i="3"/>
  <c r="CR83" i="3"/>
  <c r="CO83" i="3"/>
  <c r="CK83" i="3"/>
  <c r="CO79" i="3"/>
  <c r="CR79" i="3"/>
  <c r="CK79" i="3"/>
  <c r="CO75" i="3"/>
  <c r="CK75" i="3"/>
  <c r="CR75" i="3"/>
  <c r="CK71" i="3"/>
  <c r="CR71" i="3"/>
  <c r="CO71" i="3"/>
  <c r="CK67" i="3"/>
  <c r="CO67" i="3"/>
  <c r="F65" i="6" s="1"/>
  <c r="CR67" i="3"/>
  <c r="CK63" i="3"/>
  <c r="CO63" i="3"/>
  <c r="CR63" i="3"/>
  <c r="CO59" i="3"/>
  <c r="CR59" i="3"/>
  <c r="CK59" i="3"/>
  <c r="CK55" i="3"/>
  <c r="CR55" i="3"/>
  <c r="CO55" i="3"/>
  <c r="CK51" i="3"/>
  <c r="CR51" i="3"/>
  <c r="CO51" i="3"/>
  <c r="CR43" i="3"/>
  <c r="CK43" i="3"/>
  <c r="CO43" i="3"/>
  <c r="CR35" i="3"/>
  <c r="CK35" i="3"/>
  <c r="CO35" i="3"/>
  <c r="F33" i="6" s="1"/>
  <c r="CK31" i="3"/>
  <c r="CR31" i="3"/>
  <c r="CO31" i="3"/>
  <c r="CK27" i="3"/>
  <c r="CO27" i="3"/>
  <c r="CR27" i="3"/>
  <c r="CO23" i="3"/>
  <c r="F21" i="9" s="1"/>
  <c r="CR23" i="3"/>
  <c r="CK23" i="3"/>
  <c r="CO19" i="3"/>
  <c r="CK19" i="3"/>
  <c r="CR19" i="3"/>
  <c r="CK15" i="3"/>
  <c r="CR15" i="3"/>
  <c r="CO15" i="3"/>
  <c r="CR11" i="3"/>
  <c r="CO11" i="3"/>
  <c r="CK11" i="3"/>
  <c r="CO7" i="3"/>
  <c r="CR7" i="3"/>
  <c r="CK7" i="3"/>
  <c r="CK47" i="3"/>
  <c r="CR47" i="3"/>
  <c r="CO47" i="3"/>
  <c r="CR32" i="3"/>
  <c r="CK32" i="3"/>
  <c r="CO32" i="3"/>
  <c r="F30" i="9" s="1"/>
  <c r="CR39" i="3"/>
  <c r="CK39" i="3"/>
  <c r="CO39" i="3"/>
  <c r="CK180" i="3"/>
  <c r="K102" i="6"/>
  <c r="T126" i="6"/>
  <c r="U126" i="6"/>
  <c r="T123" i="6"/>
  <c r="U131" i="6"/>
  <c r="T131" i="6"/>
  <c r="T120" i="6"/>
  <c r="U120" i="6"/>
  <c r="T150" i="6"/>
  <c r="U150" i="6"/>
  <c r="U146" i="6"/>
  <c r="K135" i="6"/>
  <c r="K150" i="6"/>
  <c r="H177" i="5"/>
  <c r="K177" i="4" l="1"/>
  <c r="H11" i="4"/>
  <c r="P11" i="4" s="1"/>
  <c r="H120" i="4"/>
  <c r="P120" i="4" s="1"/>
  <c r="X173" i="4"/>
  <c r="X128" i="4"/>
  <c r="H97" i="4"/>
  <c r="P97" i="4" s="1"/>
  <c r="X42" i="4"/>
  <c r="X120" i="4"/>
  <c r="H112" i="4"/>
  <c r="P112" i="4" s="1"/>
  <c r="H144" i="4"/>
  <c r="P144" i="4" s="1"/>
  <c r="H82" i="4"/>
  <c r="P82" i="4" s="1"/>
  <c r="H152" i="4"/>
  <c r="P152" i="4" s="1"/>
  <c r="X112" i="4"/>
  <c r="H160" i="4"/>
  <c r="P160" i="4" s="1"/>
  <c r="H166" i="4"/>
  <c r="P166" i="4" s="1"/>
  <c r="H73" i="4"/>
  <c r="P73" i="4" s="1"/>
  <c r="H58" i="4"/>
  <c r="P58" i="4" s="1"/>
  <c r="H148" i="4"/>
  <c r="P148" i="4" s="1"/>
  <c r="H137" i="4"/>
  <c r="P137" i="4" s="1"/>
  <c r="H49" i="4"/>
  <c r="P49" i="4" s="1"/>
  <c r="H26" i="4"/>
  <c r="P26" i="4" s="1"/>
  <c r="H66" i="4"/>
  <c r="P66" i="4" s="1"/>
  <c r="H154" i="4"/>
  <c r="P154" i="4" s="1"/>
  <c r="H132" i="4"/>
  <c r="P132" i="4" s="1"/>
  <c r="X27" i="4"/>
  <c r="H121" i="4"/>
  <c r="P121" i="4" s="1"/>
  <c r="H42" i="4"/>
  <c r="P42" i="4" s="1"/>
  <c r="H167" i="4"/>
  <c r="P167" i="4" s="1"/>
  <c r="X132" i="4"/>
  <c r="X166" i="4"/>
  <c r="X137" i="4"/>
  <c r="H113" i="4"/>
  <c r="P113" i="4" s="1"/>
  <c r="X97" i="4"/>
  <c r="X73" i="4"/>
  <c r="H41" i="4"/>
  <c r="P41" i="4" s="1"/>
  <c r="X156" i="4"/>
  <c r="H88" i="4"/>
  <c r="P88" i="4" s="1"/>
  <c r="H54" i="4"/>
  <c r="P54" i="4" s="1"/>
  <c r="H174" i="4"/>
  <c r="P174" i="4" s="1"/>
  <c r="H153" i="4"/>
  <c r="P153" i="4" s="1"/>
  <c r="H129" i="4"/>
  <c r="P129" i="4" s="1"/>
  <c r="H105" i="4"/>
  <c r="P105" i="4" s="1"/>
  <c r="H89" i="4"/>
  <c r="P89" i="4" s="1"/>
  <c r="X65" i="4"/>
  <c r="X10" i="4"/>
  <c r="H62" i="4"/>
  <c r="P62" i="4" s="1"/>
  <c r="H5" i="4"/>
  <c r="P5" i="4" s="1"/>
  <c r="X174" i="4"/>
  <c r="H145" i="4"/>
  <c r="P145" i="4" s="1"/>
  <c r="X129" i="4"/>
  <c r="X105" i="4"/>
  <c r="H81" i="4"/>
  <c r="P81" i="4" s="1"/>
  <c r="H57" i="4"/>
  <c r="P57" i="4" s="1"/>
  <c r="H124" i="4"/>
  <c r="P124" i="4" s="1"/>
  <c r="X62" i="4"/>
  <c r="H32" i="4"/>
  <c r="P32" i="4" s="1"/>
  <c r="H19" i="4"/>
  <c r="P19" i="4" s="1"/>
  <c r="X33" i="4"/>
  <c r="H130" i="4"/>
  <c r="P130" i="4" s="1"/>
  <c r="H175" i="4"/>
  <c r="P175" i="4" s="1"/>
  <c r="X124" i="4"/>
  <c r="H30" i="4"/>
  <c r="P30" i="4" s="1"/>
  <c r="H102" i="4"/>
  <c r="P102" i="4" s="1"/>
  <c r="X158" i="4"/>
  <c r="H74" i="4"/>
  <c r="P74" i="4" s="1"/>
  <c r="H90" i="4"/>
  <c r="P90" i="4" s="1"/>
  <c r="H146" i="4"/>
  <c r="P146" i="4" s="1"/>
  <c r="X175" i="4"/>
  <c r="H16" i="4"/>
  <c r="P16" i="4" s="1"/>
  <c r="X30" i="4"/>
  <c r="X102" i="4"/>
  <c r="H171" i="4"/>
  <c r="P171" i="4" s="1"/>
  <c r="H27" i="4"/>
  <c r="P27" i="4" s="1"/>
  <c r="H10" i="4"/>
  <c r="P10" i="4" s="1"/>
  <c r="X74" i="4"/>
  <c r="H116" i="4"/>
  <c r="P116" i="4" s="1"/>
  <c r="H136" i="4"/>
  <c r="P136" i="4" s="1"/>
  <c r="H38" i="4"/>
  <c r="P38" i="4" s="1"/>
  <c r="H110" i="4"/>
  <c r="P110" i="4" s="1"/>
  <c r="X171" i="4"/>
  <c r="H50" i="4"/>
  <c r="P50" i="4" s="1"/>
  <c r="X146" i="4"/>
  <c r="X60" i="4"/>
  <c r="H76" i="4"/>
  <c r="P76" i="4" s="1"/>
  <c r="X92" i="4"/>
  <c r="H24" i="4"/>
  <c r="P24" i="4" s="1"/>
  <c r="X56" i="4"/>
  <c r="X126" i="4"/>
  <c r="H8" i="4"/>
  <c r="P8" i="4" s="1"/>
  <c r="H3" i="4"/>
  <c r="P3" i="4" s="1"/>
  <c r="H23" i="4"/>
  <c r="P23" i="4" s="1"/>
  <c r="H13" i="4"/>
  <c r="P13" i="4" s="1"/>
  <c r="H18" i="4"/>
  <c r="P18" i="4" s="1"/>
  <c r="H34" i="4"/>
  <c r="P34" i="4" s="1"/>
  <c r="X50" i="4"/>
  <c r="H138" i="4"/>
  <c r="P138" i="4" s="1"/>
  <c r="H68" i="4"/>
  <c r="P68" i="4" s="1"/>
  <c r="H84" i="4"/>
  <c r="P84" i="4" s="1"/>
  <c r="H100" i="4"/>
  <c r="P100" i="4" s="1"/>
  <c r="H40" i="4"/>
  <c r="P40" i="4" s="1"/>
  <c r="H104" i="4"/>
  <c r="P104" i="4" s="1"/>
  <c r="H142" i="4"/>
  <c r="P142" i="4" s="1"/>
  <c r="H80" i="4"/>
  <c r="P80" i="4" s="1"/>
  <c r="H71" i="4"/>
  <c r="P71" i="4" s="1"/>
  <c r="X23" i="4"/>
  <c r="H7" i="4"/>
  <c r="P7" i="4" s="1"/>
  <c r="H29" i="4"/>
  <c r="P29" i="4" s="1"/>
  <c r="X18" i="4"/>
  <c r="H122" i="4"/>
  <c r="P122" i="4" s="1"/>
  <c r="X138" i="4"/>
  <c r="X68" i="4"/>
  <c r="X100" i="4"/>
  <c r="X40" i="4"/>
  <c r="H72" i="4"/>
  <c r="P72" i="4" s="1"/>
  <c r="X104" i="4"/>
  <c r="H118" i="4"/>
  <c r="P118" i="4" s="1"/>
  <c r="H134" i="4"/>
  <c r="P134" i="4" s="1"/>
  <c r="H64" i="4"/>
  <c r="P64" i="4" s="1"/>
  <c r="H96" i="4"/>
  <c r="P96" i="4" s="1"/>
  <c r="AB47" i="4"/>
  <c r="H47" i="4"/>
  <c r="P47" i="4" s="1"/>
  <c r="AB55" i="4"/>
  <c r="X55" i="4"/>
  <c r="AB63" i="4"/>
  <c r="H63" i="4"/>
  <c r="P63" i="4" s="1"/>
  <c r="AB79" i="4"/>
  <c r="X79" i="4"/>
  <c r="H79" i="4"/>
  <c r="P79" i="4" s="1"/>
  <c r="AB87" i="4"/>
  <c r="H87" i="4"/>
  <c r="P87" i="4" s="1"/>
  <c r="AB103" i="4"/>
  <c r="H103" i="4"/>
  <c r="P103" i="4" s="1"/>
  <c r="AB119" i="4"/>
  <c r="X119" i="4"/>
  <c r="AB127" i="4"/>
  <c r="H127" i="4"/>
  <c r="P127" i="4" s="1"/>
  <c r="AB143" i="4"/>
  <c r="H143" i="4"/>
  <c r="P143" i="4" s="1"/>
  <c r="F177" i="4"/>
  <c r="I135" i="4" s="1"/>
  <c r="H159" i="4"/>
  <c r="P159" i="4" s="1"/>
  <c r="X143" i="4"/>
  <c r="H119" i="4"/>
  <c r="P119" i="4" s="1"/>
  <c r="H95" i="4"/>
  <c r="P95" i="4" s="1"/>
  <c r="H55" i="4"/>
  <c r="P55" i="4" s="1"/>
  <c r="H83" i="4"/>
  <c r="P83" i="4" s="1"/>
  <c r="H151" i="4"/>
  <c r="P151" i="4" s="1"/>
  <c r="H111" i="4"/>
  <c r="P111" i="4" s="1"/>
  <c r="X87" i="4"/>
  <c r="X47" i="4"/>
  <c r="AB51" i="4"/>
  <c r="H51" i="4"/>
  <c r="P51" i="4" s="1"/>
  <c r="AB59" i="4"/>
  <c r="H59" i="4"/>
  <c r="P59" i="4" s="1"/>
  <c r="AB67" i="4"/>
  <c r="X67" i="4"/>
  <c r="AB75" i="4"/>
  <c r="H75" i="4"/>
  <c r="P75" i="4" s="1"/>
  <c r="AB91" i="4"/>
  <c r="X91" i="4"/>
  <c r="H91" i="4"/>
  <c r="P91" i="4" s="1"/>
  <c r="AB99" i="4"/>
  <c r="X99" i="4"/>
  <c r="H99" i="4"/>
  <c r="P99" i="4" s="1"/>
  <c r="AB115" i="4"/>
  <c r="H115" i="4"/>
  <c r="P115" i="4" s="1"/>
  <c r="AB123" i="4"/>
  <c r="H123" i="4"/>
  <c r="P123" i="4" s="1"/>
  <c r="AB131" i="4"/>
  <c r="X131" i="4"/>
  <c r="AB139" i="4"/>
  <c r="H139" i="4"/>
  <c r="P139" i="4" s="1"/>
  <c r="AB155" i="4"/>
  <c r="X155" i="4"/>
  <c r="H155" i="4"/>
  <c r="P155" i="4" s="1"/>
  <c r="AB168" i="4"/>
  <c r="X168" i="4"/>
  <c r="H168" i="4"/>
  <c r="P168" i="4" s="1"/>
  <c r="H172" i="4"/>
  <c r="P172" i="4" s="1"/>
  <c r="X151" i="4"/>
  <c r="H135" i="4"/>
  <c r="P135" i="4" s="1"/>
  <c r="X111" i="4"/>
  <c r="X29" i="4"/>
  <c r="H65" i="4"/>
  <c r="P65" i="4" s="1"/>
  <c r="X41" i="4"/>
  <c r="H25" i="4"/>
  <c r="P25" i="4" s="1"/>
  <c r="H9" i="4"/>
  <c r="P9" i="4" s="1"/>
  <c r="D13" i="7"/>
  <c r="E11" i="7"/>
  <c r="H6" i="1" s="1"/>
  <c r="E2" i="1" s="1"/>
  <c r="D33" i="7"/>
  <c r="E33" i="7" s="1"/>
  <c r="E34" i="7" s="1"/>
  <c r="K112" i="12"/>
  <c r="K108" i="12"/>
  <c r="K104" i="12"/>
  <c r="K100" i="12"/>
  <c r="K96" i="12"/>
  <c r="K92" i="12"/>
  <c r="K88" i="12"/>
  <c r="K84" i="12"/>
  <c r="K80" i="12"/>
  <c r="K76" i="12"/>
  <c r="K72" i="12"/>
  <c r="K68" i="12"/>
  <c r="K64" i="12"/>
  <c r="K60" i="12"/>
  <c r="K56" i="12"/>
  <c r="K52" i="12"/>
  <c r="K48" i="12"/>
  <c r="K44" i="12"/>
  <c r="K40" i="12"/>
  <c r="K36" i="12"/>
  <c r="K32" i="12"/>
  <c r="K28" i="12"/>
  <c r="K24" i="12"/>
  <c r="K20" i="12"/>
  <c r="K16" i="12"/>
  <c r="K12" i="12"/>
  <c r="K8" i="12"/>
  <c r="K4" i="12"/>
  <c r="K110" i="12"/>
  <c r="K106" i="12"/>
  <c r="K102" i="12"/>
  <c r="K98" i="12"/>
  <c r="K94" i="12"/>
  <c r="K90" i="12"/>
  <c r="K86" i="12"/>
  <c r="K82" i="12"/>
  <c r="K78" i="12"/>
  <c r="K74" i="12"/>
  <c r="K70" i="12"/>
  <c r="K66" i="12"/>
  <c r="K62" i="12"/>
  <c r="K58" i="12"/>
  <c r="K54" i="12"/>
  <c r="K50" i="12"/>
  <c r="K46" i="12"/>
  <c r="K42" i="12"/>
  <c r="K38" i="12"/>
  <c r="K34" i="12"/>
  <c r="K30" i="12"/>
  <c r="K26" i="12"/>
  <c r="K22" i="12"/>
  <c r="K18" i="12"/>
  <c r="K14" i="12"/>
  <c r="K10" i="12"/>
  <c r="H33" i="6"/>
  <c r="K33" i="6"/>
  <c r="H59" i="6"/>
  <c r="K59" i="6"/>
  <c r="H108" i="6"/>
  <c r="H114" i="6"/>
  <c r="H65" i="6"/>
  <c r="H50" i="6"/>
  <c r="K50" i="6"/>
  <c r="H15" i="6"/>
  <c r="K15" i="6"/>
  <c r="H104" i="6"/>
  <c r="H89" i="6"/>
  <c r="K89" i="6"/>
  <c r="H8" i="6"/>
  <c r="K8" i="6"/>
  <c r="H35" i="6"/>
  <c r="H47" i="6"/>
  <c r="K47" i="6"/>
  <c r="G173" i="9"/>
  <c r="H173" i="9" s="1"/>
  <c r="X174" i="5" s="1"/>
  <c r="V160" i="5"/>
  <c r="R159" i="8"/>
  <c r="H154" i="6"/>
  <c r="V150" i="5"/>
  <c r="R149" i="8"/>
  <c r="H146" i="6"/>
  <c r="M146" i="6"/>
  <c r="V138" i="5"/>
  <c r="R137" i="8"/>
  <c r="G135" i="6"/>
  <c r="L135" i="6"/>
  <c r="H123" i="6"/>
  <c r="G116" i="9"/>
  <c r="H116" i="9" s="1"/>
  <c r="V115" i="5"/>
  <c r="R114" i="8"/>
  <c r="V95" i="5"/>
  <c r="R94" i="8"/>
  <c r="M90" i="6"/>
  <c r="H90" i="6"/>
  <c r="G87" i="6"/>
  <c r="L87" i="6"/>
  <c r="G57" i="6"/>
  <c r="L57" i="6"/>
  <c r="G37" i="6"/>
  <c r="L37" i="6"/>
  <c r="J166" i="6"/>
  <c r="G166" i="6"/>
  <c r="L166" i="6"/>
  <c r="U166" i="6"/>
  <c r="K90" i="6"/>
  <c r="T146" i="6"/>
  <c r="T135" i="6"/>
  <c r="U123" i="6"/>
  <c r="N157" i="6"/>
  <c r="N62" i="6"/>
  <c r="J112" i="6"/>
  <c r="T154" i="6"/>
  <c r="G158" i="9"/>
  <c r="H158" i="9" s="1"/>
  <c r="X159" i="5" s="1"/>
  <c r="G154" i="6"/>
  <c r="L154" i="6"/>
  <c r="G146" i="6"/>
  <c r="L146" i="6"/>
  <c r="H143" i="6"/>
  <c r="V135" i="5"/>
  <c r="R134" i="8"/>
  <c r="H131" i="6"/>
  <c r="G123" i="6"/>
  <c r="L123" i="6"/>
  <c r="H120" i="6"/>
  <c r="G108" i="6"/>
  <c r="L108" i="6"/>
  <c r="H102" i="6"/>
  <c r="M102" i="6"/>
  <c r="V83" i="5"/>
  <c r="R82" i="8"/>
  <c r="H42" i="6"/>
  <c r="J157" i="6"/>
  <c r="J64" i="6"/>
  <c r="F2" i="9"/>
  <c r="R111" i="8"/>
  <c r="V154" i="5"/>
  <c r="R153" i="8"/>
  <c r="H150" i="6"/>
  <c r="M150" i="6"/>
  <c r="V146" i="5"/>
  <c r="R145" i="8"/>
  <c r="V144" i="5"/>
  <c r="R143" i="8"/>
  <c r="H140" i="6"/>
  <c r="G131" i="6"/>
  <c r="L131" i="6"/>
  <c r="H128" i="6"/>
  <c r="H126" i="6"/>
  <c r="V123" i="5"/>
  <c r="R122" i="8"/>
  <c r="G120" i="6"/>
  <c r="L120" i="6"/>
  <c r="V105" i="5"/>
  <c r="R104" i="8"/>
  <c r="G102" i="6"/>
  <c r="L102" i="6"/>
  <c r="G79" i="6"/>
  <c r="L79" i="6"/>
  <c r="U135" i="6"/>
  <c r="K146" i="6"/>
  <c r="K123" i="6"/>
  <c r="J37" i="6"/>
  <c r="N64" i="6"/>
  <c r="L62" i="6"/>
  <c r="J135" i="6"/>
  <c r="L112" i="6"/>
  <c r="L64" i="6"/>
  <c r="K154" i="6"/>
  <c r="J2" i="8"/>
  <c r="J3" i="8"/>
  <c r="K3" i="8" s="1"/>
  <c r="J9" i="8"/>
  <c r="K9" i="8" s="1"/>
  <c r="J11" i="8"/>
  <c r="K11" i="8" s="1"/>
  <c r="O18" i="8" s="1"/>
  <c r="J18" i="8"/>
  <c r="J19" i="8"/>
  <c r="K19" i="8" s="1"/>
  <c r="J20" i="8"/>
  <c r="J21" i="8"/>
  <c r="J22" i="8"/>
  <c r="J23" i="8"/>
  <c r="K23" i="8" s="1"/>
  <c r="J25" i="8"/>
  <c r="J26" i="8"/>
  <c r="J27" i="8"/>
  <c r="K27" i="8" s="1"/>
  <c r="J28" i="8"/>
  <c r="J16" i="8"/>
  <c r="K16" i="8" s="1"/>
  <c r="O27" i="8" s="1"/>
  <c r="J29" i="8"/>
  <c r="K29" i="8" s="1"/>
  <c r="J30" i="8"/>
  <c r="J31" i="8"/>
  <c r="J32" i="8"/>
  <c r="K32" i="8" s="1"/>
  <c r="J34" i="8"/>
  <c r="K34" i="8" s="1"/>
  <c r="J35" i="8"/>
  <c r="J36" i="8"/>
  <c r="K36" i="8" s="1"/>
  <c r="J37" i="8"/>
  <c r="J38" i="8"/>
  <c r="K38" i="8" s="1"/>
  <c r="O61" i="8" s="1"/>
  <c r="J39" i="8"/>
  <c r="J40" i="8"/>
  <c r="K40" i="8" s="1"/>
  <c r="O73" i="8" s="1"/>
  <c r="J41" i="8"/>
  <c r="J42" i="8"/>
  <c r="J44" i="8"/>
  <c r="K44" i="8" s="1"/>
  <c r="O99" i="8" s="1"/>
  <c r="Q4" i="5"/>
  <c r="Q5" i="5"/>
  <c r="Q9" i="5"/>
  <c r="Q13" i="5"/>
  <c r="Q17" i="5"/>
  <c r="Q21" i="5"/>
  <c r="Q25" i="5"/>
  <c r="Q29" i="5"/>
  <c r="Q8" i="5"/>
  <c r="Q12" i="5"/>
  <c r="Q16" i="5"/>
  <c r="Q20" i="5"/>
  <c r="Q24" i="5"/>
  <c r="Q33" i="5"/>
  <c r="Q37" i="5"/>
  <c r="Q41" i="5"/>
  <c r="Q44" i="5"/>
  <c r="Q48" i="5"/>
  <c r="Q52" i="5"/>
  <c r="Q56" i="5"/>
  <c r="Q60" i="5"/>
  <c r="Q64" i="5"/>
  <c r="Q6" i="5"/>
  <c r="Q19" i="5"/>
  <c r="Q22" i="5"/>
  <c r="Q15" i="5"/>
  <c r="Q18" i="5"/>
  <c r="Q27" i="5"/>
  <c r="Q45" i="5"/>
  <c r="Q49" i="5"/>
  <c r="Q53" i="5"/>
  <c r="Q30" i="5"/>
  <c r="Q34" i="5"/>
  <c r="Q35" i="5"/>
  <c r="Q42" i="5"/>
  <c r="Q59" i="5"/>
  <c r="Q63" i="5"/>
  <c r="Q68" i="5"/>
  <c r="Q10" i="5"/>
  <c r="Q11" i="5"/>
  <c r="Q14" i="5"/>
  <c r="Q23" i="5"/>
  <c r="Q36" i="5"/>
  <c r="Q72" i="5"/>
  <c r="Q76" i="5"/>
  <c r="Q80" i="5"/>
  <c r="Q84" i="5"/>
  <c r="Q88" i="5"/>
  <c r="Q92" i="5"/>
  <c r="Q96" i="5"/>
  <c r="Q100" i="5"/>
  <c r="Q104" i="5"/>
  <c r="Q31" i="5"/>
  <c r="Q43" i="5"/>
  <c r="Q46" i="5"/>
  <c r="Q50" i="5"/>
  <c r="Q54" i="5"/>
  <c r="Q65" i="5"/>
  <c r="Q66" i="5"/>
  <c r="Q73" i="5"/>
  <c r="Q77" i="5"/>
  <c r="Q81" i="5"/>
  <c r="Q38" i="5"/>
  <c r="Q39" i="5"/>
  <c r="Q57" i="5"/>
  <c r="Q67" i="5"/>
  <c r="Q70" i="5"/>
  <c r="Q71" i="5"/>
  <c r="Q74" i="5"/>
  <c r="Q75" i="5"/>
  <c r="Q78" i="5"/>
  <c r="Q79" i="5"/>
  <c r="Q82" i="5"/>
  <c r="Q83" i="5"/>
  <c r="Q7" i="5"/>
  <c r="Q28" i="5"/>
  <c r="Q40" i="5"/>
  <c r="Q47" i="5"/>
  <c r="Q51" i="5"/>
  <c r="Q55" i="5"/>
  <c r="Q58" i="5"/>
  <c r="Q62" i="5"/>
  <c r="Q69" i="5"/>
  <c r="Q86" i="5"/>
  <c r="Q61" i="5"/>
  <c r="Q93" i="5"/>
  <c r="Q97" i="5"/>
  <c r="Q101" i="5"/>
  <c r="Q105" i="5"/>
  <c r="Q110" i="5"/>
  <c r="Q114" i="5"/>
  <c r="Q118" i="5"/>
  <c r="Q122" i="5"/>
  <c r="Q126" i="5"/>
  <c r="Q130" i="5"/>
  <c r="Q134" i="5"/>
  <c r="Q138" i="5"/>
  <c r="Q142" i="5"/>
  <c r="Q146" i="5"/>
  <c r="Q150" i="5"/>
  <c r="Q154" i="5"/>
  <c r="Q158" i="5"/>
  <c r="Q89" i="5"/>
  <c r="Q90" i="5"/>
  <c r="Q95" i="5"/>
  <c r="Q99" i="5"/>
  <c r="Q103" i="5"/>
  <c r="Q107" i="5"/>
  <c r="Q111" i="5"/>
  <c r="Q115" i="5"/>
  <c r="Q119" i="5"/>
  <c r="Q123" i="5"/>
  <c r="Q127" i="5"/>
  <c r="Q131" i="5"/>
  <c r="Q135" i="5"/>
  <c r="Q139" i="5"/>
  <c r="Q143" i="5"/>
  <c r="Q147" i="5"/>
  <c r="Q151" i="5"/>
  <c r="Q155" i="5"/>
  <c r="Q159" i="5"/>
  <c r="Q26" i="5"/>
  <c r="Q32" i="5"/>
  <c r="Q85" i="5"/>
  <c r="Q87" i="5"/>
  <c r="Q91" i="5"/>
  <c r="Q108" i="5"/>
  <c r="Q112" i="5"/>
  <c r="Q116" i="5"/>
  <c r="Q120" i="5"/>
  <c r="Q124" i="5"/>
  <c r="Q128" i="5"/>
  <c r="Q132" i="5"/>
  <c r="Q136" i="5"/>
  <c r="Q140" i="5"/>
  <c r="Q102" i="5"/>
  <c r="Q163" i="5"/>
  <c r="Q164" i="5"/>
  <c r="Q165" i="5"/>
  <c r="Q166" i="5"/>
  <c r="Q169" i="5"/>
  <c r="Q172" i="5"/>
  <c r="Q175" i="5"/>
  <c r="Q106" i="5"/>
  <c r="Q144" i="5"/>
  <c r="Q145" i="5"/>
  <c r="Q148" i="5"/>
  <c r="Q149" i="5"/>
  <c r="Q152" i="5"/>
  <c r="Q153" i="5"/>
  <c r="Q156" i="5"/>
  <c r="Q157" i="5"/>
  <c r="Q160" i="5"/>
  <c r="Q170" i="5"/>
  <c r="Q173" i="5"/>
  <c r="Q3" i="5"/>
  <c r="Q94" i="5"/>
  <c r="Q109" i="5"/>
  <c r="Q113" i="5"/>
  <c r="Q117" i="5"/>
  <c r="Q121" i="5"/>
  <c r="Q125" i="5"/>
  <c r="Q129" i="5"/>
  <c r="Q133" i="5"/>
  <c r="Q137" i="5"/>
  <c r="Q141" i="5"/>
  <c r="Q167" i="5"/>
  <c r="Q174" i="5"/>
  <c r="Q168" i="5"/>
  <c r="Q171" i="5"/>
  <c r="Q98" i="5"/>
  <c r="Q161" i="5"/>
  <c r="Q162" i="5"/>
  <c r="V175" i="5"/>
  <c r="R174" i="8"/>
  <c r="V171" i="5"/>
  <c r="R170" i="8"/>
  <c r="V167" i="5"/>
  <c r="R166" i="8"/>
  <c r="G150" i="6"/>
  <c r="L150" i="6"/>
  <c r="H135" i="6"/>
  <c r="V131" i="5"/>
  <c r="R130" i="8"/>
  <c r="G126" i="6"/>
  <c r="L126" i="6"/>
  <c r="V120" i="5"/>
  <c r="R119" i="8"/>
  <c r="V118" i="5"/>
  <c r="R117" i="8"/>
  <c r="V87" i="5"/>
  <c r="R86" i="8"/>
  <c r="K169" i="5"/>
  <c r="T169" i="5" s="1"/>
  <c r="AD169" i="5"/>
  <c r="AE169" i="5" s="1"/>
  <c r="E172" i="9"/>
  <c r="G172" i="9" s="1"/>
  <c r="H172" i="9" s="1"/>
  <c r="X173" i="5" s="1"/>
  <c r="F171" i="9"/>
  <c r="E169" i="9"/>
  <c r="G169" i="9" s="1"/>
  <c r="H169" i="9" s="1"/>
  <c r="E168" i="9"/>
  <c r="G168" i="9" s="1"/>
  <c r="H168" i="9" s="1"/>
  <c r="E167" i="9"/>
  <c r="G167" i="9" s="1"/>
  <c r="H167" i="9" s="1"/>
  <c r="X168" i="5" s="1"/>
  <c r="E166" i="9"/>
  <c r="G166" i="9" s="1"/>
  <c r="H166" i="9" s="1"/>
  <c r="E159" i="9"/>
  <c r="G159" i="9" s="1"/>
  <c r="H159" i="9" s="1"/>
  <c r="F157" i="6"/>
  <c r="E156" i="9"/>
  <c r="G156" i="9" s="1"/>
  <c r="H156" i="9" s="1"/>
  <c r="X157" i="5" s="1"/>
  <c r="E155" i="6"/>
  <c r="F154" i="9"/>
  <c r="E153" i="9"/>
  <c r="G153" i="9" s="1"/>
  <c r="H153" i="9" s="1"/>
  <c r="F151" i="6"/>
  <c r="E151" i="6"/>
  <c r="F150" i="9"/>
  <c r="E149" i="9"/>
  <c r="G149" i="9" s="1"/>
  <c r="H149" i="9" s="1"/>
  <c r="X150" i="5" s="1"/>
  <c r="F147" i="6"/>
  <c r="E147" i="6"/>
  <c r="F146" i="9"/>
  <c r="E145" i="9"/>
  <c r="G145" i="9" s="1"/>
  <c r="H145" i="9" s="1"/>
  <c r="E144" i="6"/>
  <c r="F143" i="9"/>
  <c r="F141" i="6"/>
  <c r="E141" i="6"/>
  <c r="F140" i="9"/>
  <c r="F138" i="6"/>
  <c r="E137" i="9"/>
  <c r="G137" i="9" s="1"/>
  <c r="H137" i="9" s="1"/>
  <c r="E136" i="6"/>
  <c r="F135" i="9"/>
  <c r="E134" i="9"/>
  <c r="G134" i="9" s="1"/>
  <c r="H134" i="9" s="1"/>
  <c r="F132" i="6"/>
  <c r="E132" i="6"/>
  <c r="F131" i="9"/>
  <c r="E130" i="9"/>
  <c r="G130" i="9" s="1"/>
  <c r="H130" i="9" s="1"/>
  <c r="E129" i="6"/>
  <c r="F128" i="9"/>
  <c r="E127" i="6"/>
  <c r="F126" i="9"/>
  <c r="E125" i="9"/>
  <c r="G125" i="9" s="1"/>
  <c r="H125" i="9" s="1"/>
  <c r="F124" i="6"/>
  <c r="E124" i="6"/>
  <c r="F123" i="9"/>
  <c r="E122" i="9"/>
  <c r="G122" i="9" s="1"/>
  <c r="H122" i="9" s="1"/>
  <c r="E121" i="6"/>
  <c r="F120" i="9"/>
  <c r="E119" i="9"/>
  <c r="G119" i="9" s="1"/>
  <c r="H119" i="9" s="1"/>
  <c r="F118" i="6"/>
  <c r="E117" i="9"/>
  <c r="G117" i="9" s="1"/>
  <c r="H117" i="9" s="1"/>
  <c r="F115" i="6"/>
  <c r="E115" i="6"/>
  <c r="F114" i="9"/>
  <c r="F112" i="6"/>
  <c r="E111" i="9"/>
  <c r="G111" i="9" s="1"/>
  <c r="H111" i="9" s="1"/>
  <c r="X112" i="5" s="1"/>
  <c r="F109" i="6"/>
  <c r="E109" i="6"/>
  <c r="F108" i="9"/>
  <c r="E107" i="9"/>
  <c r="G107" i="9" s="1"/>
  <c r="H107" i="9" s="1"/>
  <c r="F106" i="6"/>
  <c r="E105" i="9"/>
  <c r="G105" i="9" s="1"/>
  <c r="H105" i="9" s="1"/>
  <c r="E103" i="6"/>
  <c r="F102" i="9"/>
  <c r="E101" i="9"/>
  <c r="G101" i="9" s="1"/>
  <c r="H101" i="9" s="1"/>
  <c r="F99" i="9"/>
  <c r="E97" i="6"/>
  <c r="F92" i="6"/>
  <c r="E91" i="9"/>
  <c r="F89" i="9"/>
  <c r="E88" i="6"/>
  <c r="F85" i="6"/>
  <c r="E84" i="9"/>
  <c r="G84" i="9" s="1"/>
  <c r="H84" i="9" s="1"/>
  <c r="E84" i="6"/>
  <c r="F81" i="9"/>
  <c r="F75" i="6"/>
  <c r="F72" i="6"/>
  <c r="F53" i="6"/>
  <c r="F44" i="6"/>
  <c r="K42" i="8"/>
  <c r="O88" i="8" s="1"/>
  <c r="K31" i="8"/>
  <c r="E33" i="6"/>
  <c r="F31" i="6"/>
  <c r="F175" i="5"/>
  <c r="O175" i="5" s="1"/>
  <c r="D172" i="5"/>
  <c r="M172" i="5" s="1"/>
  <c r="E167" i="5"/>
  <c r="N167" i="5" s="1"/>
  <c r="F164" i="5"/>
  <c r="O164" i="5" s="1"/>
  <c r="F146" i="5"/>
  <c r="O146" i="5" s="1"/>
  <c r="K2" i="8"/>
  <c r="K18" i="8"/>
  <c r="K20" i="8"/>
  <c r="K21" i="8"/>
  <c r="K22" i="8"/>
  <c r="K25" i="8"/>
  <c r="K26" i="8"/>
  <c r="K28" i="8"/>
  <c r="F174" i="9"/>
  <c r="E171" i="9"/>
  <c r="G171" i="9" s="1"/>
  <c r="H171" i="9" s="1"/>
  <c r="F170" i="9"/>
  <c r="F158" i="6"/>
  <c r="E158" i="6"/>
  <c r="F157" i="9"/>
  <c r="F155" i="6"/>
  <c r="E154" i="9"/>
  <c r="G154" i="9" s="1"/>
  <c r="H154" i="9" s="1"/>
  <c r="F152" i="6"/>
  <c r="E152" i="6"/>
  <c r="F151" i="9"/>
  <c r="E150" i="9"/>
  <c r="G150" i="9" s="1"/>
  <c r="H150" i="9" s="1"/>
  <c r="F148" i="6"/>
  <c r="E148" i="6"/>
  <c r="F147" i="9"/>
  <c r="E146" i="9"/>
  <c r="G146" i="9" s="1"/>
  <c r="H146" i="9" s="1"/>
  <c r="F144" i="6"/>
  <c r="E143" i="9"/>
  <c r="G143" i="9" s="1"/>
  <c r="H143" i="9" s="1"/>
  <c r="F142" i="6"/>
  <c r="E142" i="6"/>
  <c r="F141" i="9"/>
  <c r="E140" i="9"/>
  <c r="F139" i="6"/>
  <c r="E139" i="6"/>
  <c r="F138" i="9"/>
  <c r="F136" i="6"/>
  <c r="E135" i="9"/>
  <c r="F133" i="6"/>
  <c r="E133" i="6"/>
  <c r="F132" i="9"/>
  <c r="E131" i="9"/>
  <c r="F129" i="6"/>
  <c r="E128" i="9"/>
  <c r="G128" i="9" s="1"/>
  <c r="H128" i="9" s="1"/>
  <c r="X129" i="5" s="1"/>
  <c r="F127" i="6"/>
  <c r="E126" i="9"/>
  <c r="G126" i="9" s="1"/>
  <c r="H126" i="9" s="1"/>
  <c r="E125" i="6"/>
  <c r="F124" i="9"/>
  <c r="E123" i="9"/>
  <c r="G123" i="9" s="1"/>
  <c r="H123" i="9" s="1"/>
  <c r="F121" i="6"/>
  <c r="E120" i="9"/>
  <c r="F116" i="6"/>
  <c r="E116" i="6"/>
  <c r="F115" i="9"/>
  <c r="E114" i="9"/>
  <c r="F113" i="6"/>
  <c r="E113" i="6"/>
  <c r="F112" i="9"/>
  <c r="F110" i="6"/>
  <c r="E110" i="6"/>
  <c r="F109" i="9"/>
  <c r="E108" i="9"/>
  <c r="G108" i="9" s="1"/>
  <c r="H108" i="9" s="1"/>
  <c r="E107" i="6"/>
  <c r="F106" i="9"/>
  <c r="E105" i="6"/>
  <c r="F104" i="9"/>
  <c r="F103" i="6"/>
  <c r="E102" i="9"/>
  <c r="G102" i="9" s="1"/>
  <c r="H102" i="9" s="1"/>
  <c r="X103" i="5" s="1"/>
  <c r="E101" i="6"/>
  <c r="F100" i="9"/>
  <c r="E100" i="6"/>
  <c r="E99" i="9"/>
  <c r="G99" i="9" s="1"/>
  <c r="H99" i="9" s="1"/>
  <c r="F99" i="6"/>
  <c r="F94" i="6"/>
  <c r="E93" i="9"/>
  <c r="F92" i="9"/>
  <c r="E90" i="6"/>
  <c r="F87" i="6"/>
  <c r="F86" i="9"/>
  <c r="E85" i="9"/>
  <c r="E85" i="6"/>
  <c r="F82" i="6"/>
  <c r="E81" i="9"/>
  <c r="G81" i="9" s="1"/>
  <c r="H81" i="9" s="1"/>
  <c r="F78" i="9"/>
  <c r="E77" i="9"/>
  <c r="E75" i="6"/>
  <c r="E72" i="6"/>
  <c r="E64" i="9"/>
  <c r="F63" i="9"/>
  <c r="E62" i="9"/>
  <c r="F61" i="9"/>
  <c r="E60" i="9"/>
  <c r="G60" i="9" s="1"/>
  <c r="H60" i="9" s="1"/>
  <c r="X61" i="5" s="1"/>
  <c r="E58" i="9"/>
  <c r="F56" i="9"/>
  <c r="E55" i="9"/>
  <c r="E49" i="9"/>
  <c r="G49" i="9" s="1"/>
  <c r="H49" i="9" s="1"/>
  <c r="X50" i="5" s="1"/>
  <c r="E46" i="9"/>
  <c r="E44" i="6"/>
  <c r="K39" i="8"/>
  <c r="O65" i="8" s="1"/>
  <c r="K37" i="8"/>
  <c r="K35" i="8"/>
  <c r="F36" i="9"/>
  <c r="E34" i="9"/>
  <c r="E31" i="6"/>
  <c r="E28" i="6"/>
  <c r="E27" i="6"/>
  <c r="G13" i="8"/>
  <c r="I13" i="8" s="1"/>
  <c r="J13" i="8" s="1"/>
  <c r="K13" i="8" s="1"/>
  <c r="G33" i="8"/>
  <c r="I33" i="8" s="1"/>
  <c r="J33" i="8" s="1"/>
  <c r="K33" i="8" s="1"/>
  <c r="O51" i="8" s="1"/>
  <c r="G40" i="8"/>
  <c r="I40" i="8" s="1"/>
  <c r="G43" i="8"/>
  <c r="I43" i="8" s="1"/>
  <c r="J43" i="8" s="1"/>
  <c r="K43" i="8" s="1"/>
  <c r="O91" i="8" s="1"/>
  <c r="G44" i="8"/>
  <c r="I44" i="8" s="1"/>
  <c r="G45" i="8"/>
  <c r="I45" i="8" s="1"/>
  <c r="J45" i="8" s="1"/>
  <c r="K45" i="8" s="1"/>
  <c r="O106" i="8" s="1"/>
  <c r="G46" i="8"/>
  <c r="I46" i="8" s="1"/>
  <c r="J46" i="8" s="1"/>
  <c r="K46" i="8" s="1"/>
  <c r="O112" i="8" s="1"/>
  <c r="G14" i="8"/>
  <c r="I14" i="8" s="1"/>
  <c r="J14" i="8" s="1"/>
  <c r="K14" i="8" s="1"/>
  <c r="G17" i="8"/>
  <c r="I17" i="8" s="1"/>
  <c r="J17" i="8" s="1"/>
  <c r="K17" i="8" s="1"/>
  <c r="O37" i="8" s="1"/>
  <c r="G19" i="8"/>
  <c r="I19" i="8" s="1"/>
  <c r="G23" i="8"/>
  <c r="I23" i="8" s="1"/>
  <c r="G24" i="8"/>
  <c r="I24" i="8" s="1"/>
  <c r="J24" i="8" s="1"/>
  <c r="K24" i="8" s="1"/>
  <c r="O42" i="8" s="1"/>
  <c r="G27" i="8"/>
  <c r="I27" i="8" s="1"/>
  <c r="E4" i="5"/>
  <c r="N4" i="5" s="1"/>
  <c r="D6" i="5"/>
  <c r="M6" i="5" s="1"/>
  <c r="F6" i="5"/>
  <c r="O6" i="5" s="1"/>
  <c r="E8" i="5"/>
  <c r="N8" i="5" s="1"/>
  <c r="D10" i="5"/>
  <c r="M10" i="5" s="1"/>
  <c r="F10" i="5"/>
  <c r="O10" i="5" s="1"/>
  <c r="E12" i="5"/>
  <c r="N12" i="5" s="1"/>
  <c r="D14" i="5"/>
  <c r="M14" i="5" s="1"/>
  <c r="F14" i="5"/>
  <c r="O14" i="5" s="1"/>
  <c r="E16" i="5"/>
  <c r="N16" i="5" s="1"/>
  <c r="D18" i="5"/>
  <c r="M18" i="5" s="1"/>
  <c r="F18" i="5"/>
  <c r="O18" i="5" s="1"/>
  <c r="E20" i="5"/>
  <c r="N20" i="5" s="1"/>
  <c r="D22" i="5"/>
  <c r="M22" i="5" s="1"/>
  <c r="F22" i="5"/>
  <c r="O22" i="5" s="1"/>
  <c r="E24" i="5"/>
  <c r="N24" i="5" s="1"/>
  <c r="D26" i="5"/>
  <c r="M26" i="5" s="1"/>
  <c r="F26" i="5"/>
  <c r="O26" i="5" s="1"/>
  <c r="E28" i="5"/>
  <c r="N28" i="5" s="1"/>
  <c r="D30" i="5"/>
  <c r="M30" i="5" s="1"/>
  <c r="F30" i="5"/>
  <c r="O30" i="5" s="1"/>
  <c r="E32" i="5"/>
  <c r="N32" i="5" s="1"/>
  <c r="E7" i="5"/>
  <c r="N7" i="5" s="1"/>
  <c r="D8" i="5"/>
  <c r="M8" i="5" s="1"/>
  <c r="E11" i="5"/>
  <c r="N11" i="5" s="1"/>
  <c r="D12" i="5"/>
  <c r="M12" i="5" s="1"/>
  <c r="E15" i="5"/>
  <c r="N15" i="5" s="1"/>
  <c r="D16" i="5"/>
  <c r="M16" i="5" s="1"/>
  <c r="E19" i="5"/>
  <c r="N19" i="5" s="1"/>
  <c r="D20" i="5"/>
  <c r="M20" i="5" s="1"/>
  <c r="E23" i="5"/>
  <c r="N23" i="5" s="1"/>
  <c r="D24" i="5"/>
  <c r="M24" i="5" s="1"/>
  <c r="F4" i="5"/>
  <c r="O4" i="5" s="1"/>
  <c r="F5" i="5"/>
  <c r="O5" i="5" s="1"/>
  <c r="E6" i="5"/>
  <c r="N6" i="5" s="1"/>
  <c r="F7" i="5"/>
  <c r="O7" i="5" s="1"/>
  <c r="F9" i="5"/>
  <c r="O9" i="5" s="1"/>
  <c r="E10" i="5"/>
  <c r="N10" i="5" s="1"/>
  <c r="F11" i="5"/>
  <c r="O11" i="5" s="1"/>
  <c r="F13" i="5"/>
  <c r="O13" i="5" s="1"/>
  <c r="E14" i="5"/>
  <c r="N14" i="5" s="1"/>
  <c r="F15" i="5"/>
  <c r="O15" i="5" s="1"/>
  <c r="F17" i="5"/>
  <c r="O17" i="5" s="1"/>
  <c r="E18" i="5"/>
  <c r="N18" i="5" s="1"/>
  <c r="F19" i="5"/>
  <c r="O19" i="5" s="1"/>
  <c r="F21" i="5"/>
  <c r="O21" i="5" s="1"/>
  <c r="E22" i="5"/>
  <c r="N22" i="5" s="1"/>
  <c r="F23" i="5"/>
  <c r="O23" i="5" s="1"/>
  <c r="F25" i="5"/>
  <c r="O25" i="5" s="1"/>
  <c r="E26" i="5"/>
  <c r="N26" i="5" s="1"/>
  <c r="F27" i="5"/>
  <c r="O27" i="5" s="1"/>
  <c r="F29" i="5"/>
  <c r="O29" i="5" s="1"/>
  <c r="E30" i="5"/>
  <c r="N30" i="5" s="1"/>
  <c r="F31" i="5"/>
  <c r="O31" i="5" s="1"/>
  <c r="D34" i="5"/>
  <c r="M34" i="5" s="1"/>
  <c r="F34" i="5"/>
  <c r="O34" i="5" s="1"/>
  <c r="E36" i="5"/>
  <c r="N36" i="5" s="1"/>
  <c r="D38" i="5"/>
  <c r="M38" i="5" s="1"/>
  <c r="F38" i="5"/>
  <c r="O38" i="5" s="1"/>
  <c r="E40" i="5"/>
  <c r="N40" i="5" s="1"/>
  <c r="D42" i="5"/>
  <c r="M42" i="5" s="1"/>
  <c r="F42" i="5"/>
  <c r="O42" i="5" s="1"/>
  <c r="D45" i="5"/>
  <c r="M45" i="5" s="1"/>
  <c r="F45" i="5"/>
  <c r="O45" i="5" s="1"/>
  <c r="E47" i="5"/>
  <c r="N47" i="5" s="1"/>
  <c r="D49" i="5"/>
  <c r="M49" i="5" s="1"/>
  <c r="F49" i="5"/>
  <c r="O49" i="5" s="1"/>
  <c r="E51" i="5"/>
  <c r="N51" i="5" s="1"/>
  <c r="D53" i="5"/>
  <c r="M53" i="5" s="1"/>
  <c r="F53" i="5"/>
  <c r="O53" i="5" s="1"/>
  <c r="E55" i="5"/>
  <c r="N55" i="5" s="1"/>
  <c r="D57" i="5"/>
  <c r="M57" i="5" s="1"/>
  <c r="F57" i="5"/>
  <c r="O57" i="5" s="1"/>
  <c r="E59" i="5"/>
  <c r="N59" i="5" s="1"/>
  <c r="D61" i="5"/>
  <c r="M61" i="5" s="1"/>
  <c r="F61" i="5"/>
  <c r="O61" i="5" s="1"/>
  <c r="E63" i="5"/>
  <c r="N63" i="5" s="1"/>
  <c r="D65" i="5"/>
  <c r="M65" i="5" s="1"/>
  <c r="F65" i="5"/>
  <c r="O65" i="5" s="1"/>
  <c r="F8" i="5"/>
  <c r="O8" i="5" s="1"/>
  <c r="D11" i="5"/>
  <c r="M11" i="5" s="1"/>
  <c r="E13" i="5"/>
  <c r="N13" i="5" s="1"/>
  <c r="D17" i="5"/>
  <c r="M17" i="5" s="1"/>
  <c r="F24" i="5"/>
  <c r="O24" i="5" s="1"/>
  <c r="D27" i="5"/>
  <c r="M27" i="5" s="1"/>
  <c r="D4" i="5"/>
  <c r="M4" i="5" s="1"/>
  <c r="D7" i="5"/>
  <c r="M7" i="5" s="1"/>
  <c r="E9" i="5"/>
  <c r="N9" i="5" s="1"/>
  <c r="D13" i="5"/>
  <c r="M13" i="5" s="1"/>
  <c r="F20" i="5"/>
  <c r="O20" i="5" s="1"/>
  <c r="D23" i="5"/>
  <c r="M23" i="5" s="1"/>
  <c r="E25" i="5"/>
  <c r="N25" i="5" s="1"/>
  <c r="F28" i="5"/>
  <c r="O28" i="5" s="1"/>
  <c r="D32" i="5"/>
  <c r="M32" i="5" s="1"/>
  <c r="F33" i="5"/>
  <c r="O33" i="5" s="1"/>
  <c r="E34" i="5"/>
  <c r="N34" i="5" s="1"/>
  <c r="F35" i="5"/>
  <c r="O35" i="5" s="1"/>
  <c r="F37" i="5"/>
  <c r="O37" i="5" s="1"/>
  <c r="E38" i="5"/>
  <c r="N38" i="5" s="1"/>
  <c r="F39" i="5"/>
  <c r="O39" i="5" s="1"/>
  <c r="F41" i="5"/>
  <c r="O41" i="5" s="1"/>
  <c r="E42" i="5"/>
  <c r="N42" i="5" s="1"/>
  <c r="E44" i="5"/>
  <c r="N44" i="5" s="1"/>
  <c r="F47" i="5"/>
  <c r="O47" i="5" s="1"/>
  <c r="E48" i="5"/>
  <c r="N48" i="5" s="1"/>
  <c r="F51" i="5"/>
  <c r="O51" i="5" s="1"/>
  <c r="E52" i="5"/>
  <c r="N52" i="5" s="1"/>
  <c r="F55" i="5"/>
  <c r="O55" i="5" s="1"/>
  <c r="E56" i="5"/>
  <c r="N56" i="5" s="1"/>
  <c r="D5" i="5"/>
  <c r="M5" i="5" s="1"/>
  <c r="D15" i="5"/>
  <c r="M15" i="5" s="1"/>
  <c r="F16" i="5"/>
  <c r="O16" i="5" s="1"/>
  <c r="D19" i="5"/>
  <c r="M19" i="5" s="1"/>
  <c r="D25" i="5"/>
  <c r="M25" i="5" s="1"/>
  <c r="D29" i="5"/>
  <c r="M29" i="5" s="1"/>
  <c r="E33" i="5"/>
  <c r="N33" i="5" s="1"/>
  <c r="F36" i="5"/>
  <c r="O36" i="5" s="1"/>
  <c r="D40" i="5"/>
  <c r="M40" i="5" s="1"/>
  <c r="E41" i="5"/>
  <c r="N41" i="5" s="1"/>
  <c r="E45" i="5"/>
  <c r="N45" i="5" s="1"/>
  <c r="E46" i="5"/>
  <c r="N46" i="5" s="1"/>
  <c r="E49" i="5"/>
  <c r="N49" i="5" s="1"/>
  <c r="E50" i="5"/>
  <c r="N50" i="5" s="1"/>
  <c r="E53" i="5"/>
  <c r="N53" i="5" s="1"/>
  <c r="E54" i="5"/>
  <c r="N54" i="5" s="1"/>
  <c r="E58" i="5"/>
  <c r="N58" i="5" s="1"/>
  <c r="D59" i="5"/>
  <c r="M59" i="5" s="1"/>
  <c r="E62" i="5"/>
  <c r="N62" i="5" s="1"/>
  <c r="D63" i="5"/>
  <c r="M63" i="5" s="1"/>
  <c r="E66" i="5"/>
  <c r="N66" i="5" s="1"/>
  <c r="E67" i="5"/>
  <c r="N67" i="5" s="1"/>
  <c r="D69" i="5"/>
  <c r="M69" i="5" s="1"/>
  <c r="F69" i="5"/>
  <c r="O69" i="5" s="1"/>
  <c r="E5" i="5"/>
  <c r="N5" i="5" s="1"/>
  <c r="F12" i="5"/>
  <c r="O12" i="5" s="1"/>
  <c r="E31" i="5"/>
  <c r="N31" i="5" s="1"/>
  <c r="D35" i="5"/>
  <c r="M35" i="5" s="1"/>
  <c r="E37" i="5"/>
  <c r="N37" i="5" s="1"/>
  <c r="D39" i="5"/>
  <c r="M39" i="5" s="1"/>
  <c r="E43" i="5"/>
  <c r="N43" i="5" s="1"/>
  <c r="F46" i="5"/>
  <c r="O46" i="5" s="1"/>
  <c r="F50" i="5"/>
  <c r="O50" i="5" s="1"/>
  <c r="F54" i="5"/>
  <c r="O54" i="5" s="1"/>
  <c r="D58" i="5"/>
  <c r="M58" i="5" s="1"/>
  <c r="E60" i="5"/>
  <c r="N60" i="5" s="1"/>
  <c r="E61" i="5"/>
  <c r="N61" i="5" s="1"/>
  <c r="F64" i="5"/>
  <c r="O64" i="5" s="1"/>
  <c r="F66" i="5"/>
  <c r="O66" i="5" s="1"/>
  <c r="F68" i="5"/>
  <c r="O68" i="5" s="1"/>
  <c r="E69" i="5"/>
  <c r="N69" i="5" s="1"/>
  <c r="E71" i="5"/>
  <c r="N71" i="5" s="1"/>
  <c r="D73" i="5"/>
  <c r="M73" i="5" s="1"/>
  <c r="F73" i="5"/>
  <c r="O73" i="5" s="1"/>
  <c r="E75" i="5"/>
  <c r="N75" i="5" s="1"/>
  <c r="D77" i="5"/>
  <c r="M77" i="5" s="1"/>
  <c r="F77" i="5"/>
  <c r="O77" i="5" s="1"/>
  <c r="E79" i="5"/>
  <c r="N79" i="5" s="1"/>
  <c r="D81" i="5"/>
  <c r="M81" i="5" s="1"/>
  <c r="F81" i="5"/>
  <c r="O81" i="5" s="1"/>
  <c r="E83" i="5"/>
  <c r="N83" i="5" s="1"/>
  <c r="D85" i="5"/>
  <c r="M85" i="5" s="1"/>
  <c r="F85" i="5"/>
  <c r="O85" i="5" s="1"/>
  <c r="E87" i="5"/>
  <c r="N87" i="5" s="1"/>
  <c r="D89" i="5"/>
  <c r="M89" i="5" s="1"/>
  <c r="F89" i="5"/>
  <c r="O89" i="5" s="1"/>
  <c r="E91" i="5"/>
  <c r="N91" i="5" s="1"/>
  <c r="D93" i="5"/>
  <c r="M93" i="5" s="1"/>
  <c r="F93" i="5"/>
  <c r="O93" i="5" s="1"/>
  <c r="E95" i="5"/>
  <c r="N95" i="5" s="1"/>
  <c r="D97" i="5"/>
  <c r="M97" i="5" s="1"/>
  <c r="F97" i="5"/>
  <c r="O97" i="5" s="1"/>
  <c r="E99" i="5"/>
  <c r="N99" i="5" s="1"/>
  <c r="D101" i="5"/>
  <c r="M101" i="5" s="1"/>
  <c r="F101" i="5"/>
  <c r="O101" i="5" s="1"/>
  <c r="E103" i="5"/>
  <c r="N103" i="5" s="1"/>
  <c r="D105" i="5"/>
  <c r="M105" i="5" s="1"/>
  <c r="F105" i="5"/>
  <c r="O105" i="5" s="1"/>
  <c r="E107" i="5"/>
  <c r="N107" i="5" s="1"/>
  <c r="E17" i="5"/>
  <c r="N17" i="5" s="1"/>
  <c r="D21" i="5"/>
  <c r="M21" i="5" s="1"/>
  <c r="E39" i="5"/>
  <c r="N39" i="5" s="1"/>
  <c r="F40" i="5"/>
  <c r="O40" i="5" s="1"/>
  <c r="D44" i="5"/>
  <c r="M44" i="5" s="1"/>
  <c r="D47" i="5"/>
  <c r="M47" i="5" s="1"/>
  <c r="D48" i="5"/>
  <c r="M48" i="5" s="1"/>
  <c r="D51" i="5"/>
  <c r="M51" i="5" s="1"/>
  <c r="D52" i="5"/>
  <c r="M52" i="5" s="1"/>
  <c r="D55" i="5"/>
  <c r="M55" i="5" s="1"/>
  <c r="D56" i="5"/>
  <c r="M56" i="5" s="1"/>
  <c r="E57" i="5"/>
  <c r="N57" i="5" s="1"/>
  <c r="F60" i="5"/>
  <c r="O60" i="5" s="1"/>
  <c r="F62" i="5"/>
  <c r="O62" i="5" s="1"/>
  <c r="D68" i="5"/>
  <c r="M68" i="5" s="1"/>
  <c r="D70" i="5"/>
  <c r="M70" i="5" s="1"/>
  <c r="F70" i="5"/>
  <c r="O70" i="5" s="1"/>
  <c r="E72" i="5"/>
  <c r="N72" i="5" s="1"/>
  <c r="D74" i="5"/>
  <c r="M74" i="5" s="1"/>
  <c r="F74" i="5"/>
  <c r="O74" i="5" s="1"/>
  <c r="E76" i="5"/>
  <c r="N76" i="5" s="1"/>
  <c r="D78" i="5"/>
  <c r="M78" i="5" s="1"/>
  <c r="F78" i="5"/>
  <c r="O78" i="5" s="1"/>
  <c r="E80" i="5"/>
  <c r="N80" i="5" s="1"/>
  <c r="D82" i="5"/>
  <c r="M82" i="5" s="1"/>
  <c r="F82" i="5"/>
  <c r="O82" i="5" s="1"/>
  <c r="E84" i="5"/>
  <c r="N84" i="5" s="1"/>
  <c r="D31" i="5"/>
  <c r="M31" i="5" s="1"/>
  <c r="D43" i="5"/>
  <c r="M43" i="5" s="1"/>
  <c r="E21" i="5"/>
  <c r="N21" i="5" s="1"/>
  <c r="D28" i="5"/>
  <c r="M28" i="5" s="1"/>
  <c r="E29" i="5"/>
  <c r="N29" i="5" s="1"/>
  <c r="D37" i="5"/>
  <c r="M37" i="5" s="1"/>
  <c r="D41" i="5"/>
  <c r="M41" i="5" s="1"/>
  <c r="F58" i="5"/>
  <c r="O58" i="5" s="1"/>
  <c r="D62" i="5"/>
  <c r="M62" i="5" s="1"/>
  <c r="E68" i="5"/>
  <c r="N68" i="5" s="1"/>
  <c r="D72" i="5"/>
  <c r="M72" i="5" s="1"/>
  <c r="D76" i="5"/>
  <c r="M76" i="5" s="1"/>
  <c r="D80" i="5"/>
  <c r="M80" i="5" s="1"/>
  <c r="D84" i="5"/>
  <c r="M84" i="5" s="1"/>
  <c r="E85" i="5"/>
  <c r="N85" i="5" s="1"/>
  <c r="F86" i="5"/>
  <c r="O86" i="5" s="1"/>
  <c r="F88" i="5"/>
  <c r="O88" i="5" s="1"/>
  <c r="E89" i="5"/>
  <c r="N89" i="5" s="1"/>
  <c r="F90" i="5"/>
  <c r="O90" i="5" s="1"/>
  <c r="F92" i="5"/>
  <c r="O92" i="5" s="1"/>
  <c r="D9" i="5"/>
  <c r="M9" i="5" s="1"/>
  <c r="E27" i="5"/>
  <c r="N27" i="5" s="1"/>
  <c r="F32" i="5"/>
  <c r="O32" i="5" s="1"/>
  <c r="D36" i="5"/>
  <c r="M36" i="5" s="1"/>
  <c r="F44" i="5"/>
  <c r="O44" i="5" s="1"/>
  <c r="F48" i="5"/>
  <c r="O48" i="5" s="1"/>
  <c r="F52" i="5"/>
  <c r="O52" i="5" s="1"/>
  <c r="F56" i="5"/>
  <c r="O56" i="5" s="1"/>
  <c r="D66" i="5"/>
  <c r="M66" i="5" s="1"/>
  <c r="D71" i="5"/>
  <c r="M71" i="5" s="1"/>
  <c r="D75" i="5"/>
  <c r="M75" i="5" s="1"/>
  <c r="D79" i="5"/>
  <c r="M79" i="5" s="1"/>
  <c r="D83" i="5"/>
  <c r="M83" i="5" s="1"/>
  <c r="D86" i="5"/>
  <c r="M86" i="5" s="1"/>
  <c r="D88" i="5"/>
  <c r="M88" i="5" s="1"/>
  <c r="E35" i="5"/>
  <c r="N35" i="5" s="1"/>
  <c r="D60" i="5"/>
  <c r="M60" i="5" s="1"/>
  <c r="F67" i="5"/>
  <c r="O67" i="5" s="1"/>
  <c r="E70" i="5"/>
  <c r="N70" i="5" s="1"/>
  <c r="F75" i="5"/>
  <c r="O75" i="5" s="1"/>
  <c r="F80" i="5"/>
  <c r="O80" i="5" s="1"/>
  <c r="E81" i="5"/>
  <c r="N81" i="5" s="1"/>
  <c r="E86" i="5"/>
  <c r="N86" i="5" s="1"/>
  <c r="D87" i="5"/>
  <c r="M87" i="5" s="1"/>
  <c r="E90" i="5"/>
  <c r="N90" i="5" s="1"/>
  <c r="F95" i="5"/>
  <c r="O95" i="5" s="1"/>
  <c r="E96" i="5"/>
  <c r="N96" i="5" s="1"/>
  <c r="F99" i="5"/>
  <c r="O99" i="5" s="1"/>
  <c r="E100" i="5"/>
  <c r="N100" i="5" s="1"/>
  <c r="F103" i="5"/>
  <c r="O103" i="5" s="1"/>
  <c r="E104" i="5"/>
  <c r="N104" i="5" s="1"/>
  <c r="F107" i="5"/>
  <c r="O107" i="5" s="1"/>
  <c r="E109" i="5"/>
  <c r="N109" i="5" s="1"/>
  <c r="D111" i="5"/>
  <c r="M111" i="5" s="1"/>
  <c r="F111" i="5"/>
  <c r="O111" i="5" s="1"/>
  <c r="E113" i="5"/>
  <c r="N113" i="5" s="1"/>
  <c r="D115" i="5"/>
  <c r="M115" i="5" s="1"/>
  <c r="F115" i="5"/>
  <c r="O115" i="5" s="1"/>
  <c r="E117" i="5"/>
  <c r="N117" i="5" s="1"/>
  <c r="D119" i="5"/>
  <c r="M119" i="5" s="1"/>
  <c r="F119" i="5"/>
  <c r="O119" i="5" s="1"/>
  <c r="E121" i="5"/>
  <c r="N121" i="5" s="1"/>
  <c r="D123" i="5"/>
  <c r="M123" i="5" s="1"/>
  <c r="F123" i="5"/>
  <c r="O123" i="5" s="1"/>
  <c r="E125" i="5"/>
  <c r="N125" i="5" s="1"/>
  <c r="D127" i="5"/>
  <c r="M127" i="5" s="1"/>
  <c r="F127" i="5"/>
  <c r="O127" i="5" s="1"/>
  <c r="E129" i="5"/>
  <c r="N129" i="5" s="1"/>
  <c r="D131" i="5"/>
  <c r="M131" i="5" s="1"/>
  <c r="F131" i="5"/>
  <c r="O131" i="5" s="1"/>
  <c r="E133" i="5"/>
  <c r="N133" i="5" s="1"/>
  <c r="D135" i="5"/>
  <c r="M135" i="5" s="1"/>
  <c r="F135" i="5"/>
  <c r="O135" i="5" s="1"/>
  <c r="E137" i="5"/>
  <c r="N137" i="5" s="1"/>
  <c r="D139" i="5"/>
  <c r="M139" i="5" s="1"/>
  <c r="F139" i="5"/>
  <c r="O139" i="5" s="1"/>
  <c r="E141" i="5"/>
  <c r="N141" i="5" s="1"/>
  <c r="D143" i="5"/>
  <c r="M143" i="5" s="1"/>
  <c r="F143" i="5"/>
  <c r="O143" i="5" s="1"/>
  <c r="E145" i="5"/>
  <c r="N145" i="5" s="1"/>
  <c r="D147" i="5"/>
  <c r="M147" i="5" s="1"/>
  <c r="F147" i="5"/>
  <c r="O147" i="5" s="1"/>
  <c r="E149" i="5"/>
  <c r="N149" i="5" s="1"/>
  <c r="D151" i="5"/>
  <c r="M151" i="5" s="1"/>
  <c r="F151" i="5"/>
  <c r="O151" i="5" s="1"/>
  <c r="E153" i="5"/>
  <c r="N153" i="5" s="1"/>
  <c r="D155" i="5"/>
  <c r="M155" i="5" s="1"/>
  <c r="F155" i="5"/>
  <c r="O155" i="5" s="1"/>
  <c r="E157" i="5"/>
  <c r="N157" i="5" s="1"/>
  <c r="D159" i="5"/>
  <c r="M159" i="5" s="1"/>
  <c r="U159" i="5" s="1"/>
  <c r="F159" i="5"/>
  <c r="O159" i="5" s="1"/>
  <c r="D33" i="5"/>
  <c r="M33" i="5" s="1"/>
  <c r="F59" i="5"/>
  <c r="O59" i="5" s="1"/>
  <c r="E65" i="5"/>
  <c r="N65" i="5" s="1"/>
  <c r="E74" i="5"/>
  <c r="N74" i="5" s="1"/>
  <c r="F79" i="5"/>
  <c r="O79" i="5" s="1"/>
  <c r="F84" i="5"/>
  <c r="O84" i="5" s="1"/>
  <c r="F87" i="5"/>
  <c r="O87" i="5" s="1"/>
  <c r="F91" i="5"/>
  <c r="O91" i="5" s="1"/>
  <c r="E94" i="5"/>
  <c r="N94" i="5" s="1"/>
  <c r="D95" i="5"/>
  <c r="M95" i="5" s="1"/>
  <c r="E98" i="5"/>
  <c r="N98" i="5" s="1"/>
  <c r="D99" i="5"/>
  <c r="M99" i="5" s="1"/>
  <c r="E102" i="5"/>
  <c r="N102" i="5" s="1"/>
  <c r="D103" i="5"/>
  <c r="M103" i="5" s="1"/>
  <c r="E106" i="5"/>
  <c r="N106" i="5" s="1"/>
  <c r="D107" i="5"/>
  <c r="M107" i="5" s="1"/>
  <c r="D108" i="5"/>
  <c r="M108" i="5" s="1"/>
  <c r="F108" i="5"/>
  <c r="O108" i="5" s="1"/>
  <c r="E110" i="5"/>
  <c r="N110" i="5" s="1"/>
  <c r="D112" i="5"/>
  <c r="M112" i="5" s="1"/>
  <c r="F112" i="5"/>
  <c r="O112" i="5" s="1"/>
  <c r="E114" i="5"/>
  <c r="N114" i="5" s="1"/>
  <c r="D116" i="5"/>
  <c r="M116" i="5" s="1"/>
  <c r="F116" i="5"/>
  <c r="O116" i="5" s="1"/>
  <c r="E118" i="5"/>
  <c r="N118" i="5" s="1"/>
  <c r="D120" i="5"/>
  <c r="M120" i="5" s="1"/>
  <c r="F120" i="5"/>
  <c r="O120" i="5" s="1"/>
  <c r="E122" i="5"/>
  <c r="N122" i="5" s="1"/>
  <c r="D124" i="5"/>
  <c r="M124" i="5" s="1"/>
  <c r="F124" i="5"/>
  <c r="O124" i="5" s="1"/>
  <c r="E126" i="5"/>
  <c r="N126" i="5" s="1"/>
  <c r="D128" i="5"/>
  <c r="M128" i="5" s="1"/>
  <c r="F128" i="5"/>
  <c r="O128" i="5" s="1"/>
  <c r="E130" i="5"/>
  <c r="N130" i="5" s="1"/>
  <c r="D132" i="5"/>
  <c r="M132" i="5" s="1"/>
  <c r="U132" i="5" s="1"/>
  <c r="F132" i="5"/>
  <c r="O132" i="5" s="1"/>
  <c r="E134" i="5"/>
  <c r="N134" i="5" s="1"/>
  <c r="D136" i="5"/>
  <c r="M136" i="5" s="1"/>
  <c r="F136" i="5"/>
  <c r="O136" i="5" s="1"/>
  <c r="E138" i="5"/>
  <c r="N138" i="5" s="1"/>
  <c r="D140" i="5"/>
  <c r="M140" i="5" s="1"/>
  <c r="F140" i="5"/>
  <c r="O140" i="5" s="1"/>
  <c r="E142" i="5"/>
  <c r="N142" i="5" s="1"/>
  <c r="D144" i="5"/>
  <c r="M144" i="5" s="1"/>
  <c r="F144" i="5"/>
  <c r="O144" i="5" s="1"/>
  <c r="E146" i="5"/>
  <c r="N146" i="5" s="1"/>
  <c r="D148" i="5"/>
  <c r="M148" i="5" s="1"/>
  <c r="U148" i="5" s="1"/>
  <c r="F148" i="5"/>
  <c r="O148" i="5" s="1"/>
  <c r="E150" i="5"/>
  <c r="N150" i="5" s="1"/>
  <c r="D152" i="5"/>
  <c r="M152" i="5" s="1"/>
  <c r="F152" i="5"/>
  <c r="O152" i="5" s="1"/>
  <c r="E154" i="5"/>
  <c r="N154" i="5" s="1"/>
  <c r="D156" i="5"/>
  <c r="M156" i="5" s="1"/>
  <c r="F156" i="5"/>
  <c r="O156" i="5" s="1"/>
  <c r="E158" i="5"/>
  <c r="N158" i="5" s="1"/>
  <c r="D160" i="5"/>
  <c r="M160" i="5" s="1"/>
  <c r="F160" i="5"/>
  <c r="O160" i="5" s="1"/>
  <c r="D64" i="5"/>
  <c r="M64" i="5" s="1"/>
  <c r="F72" i="5"/>
  <c r="O72" i="5" s="1"/>
  <c r="E73" i="5"/>
  <c r="N73" i="5" s="1"/>
  <c r="E78" i="5"/>
  <c r="N78" i="5" s="1"/>
  <c r="F83" i="5"/>
  <c r="O83" i="5" s="1"/>
  <c r="E88" i="5"/>
  <c r="N88" i="5" s="1"/>
  <c r="D90" i="5"/>
  <c r="M90" i="5" s="1"/>
  <c r="D92" i="5"/>
  <c r="M92" i="5" s="1"/>
  <c r="E93" i="5"/>
  <c r="N93" i="5" s="1"/>
  <c r="F94" i="5"/>
  <c r="O94" i="5" s="1"/>
  <c r="F96" i="5"/>
  <c r="O96" i="5" s="1"/>
  <c r="E97" i="5"/>
  <c r="N97" i="5" s="1"/>
  <c r="F98" i="5"/>
  <c r="O98" i="5" s="1"/>
  <c r="F100" i="5"/>
  <c r="O100" i="5" s="1"/>
  <c r="E101" i="5"/>
  <c r="N101" i="5" s="1"/>
  <c r="F102" i="5"/>
  <c r="O102" i="5" s="1"/>
  <c r="F104" i="5"/>
  <c r="O104" i="5" s="1"/>
  <c r="E105" i="5"/>
  <c r="N105" i="5" s="1"/>
  <c r="F106" i="5"/>
  <c r="O106" i="5" s="1"/>
  <c r="D109" i="5"/>
  <c r="M109" i="5" s="1"/>
  <c r="F109" i="5"/>
  <c r="O109" i="5" s="1"/>
  <c r="E111" i="5"/>
  <c r="N111" i="5" s="1"/>
  <c r="D113" i="5"/>
  <c r="M113" i="5" s="1"/>
  <c r="F113" i="5"/>
  <c r="O113" i="5" s="1"/>
  <c r="E115" i="5"/>
  <c r="N115" i="5" s="1"/>
  <c r="D117" i="5"/>
  <c r="M117" i="5" s="1"/>
  <c r="F117" i="5"/>
  <c r="O117" i="5" s="1"/>
  <c r="E119" i="5"/>
  <c r="N119" i="5" s="1"/>
  <c r="D121" i="5"/>
  <c r="M121" i="5" s="1"/>
  <c r="F121" i="5"/>
  <c r="O121" i="5" s="1"/>
  <c r="E123" i="5"/>
  <c r="N123" i="5" s="1"/>
  <c r="D125" i="5"/>
  <c r="M125" i="5" s="1"/>
  <c r="F125" i="5"/>
  <c r="O125" i="5" s="1"/>
  <c r="E127" i="5"/>
  <c r="N127" i="5" s="1"/>
  <c r="D129" i="5"/>
  <c r="M129" i="5" s="1"/>
  <c r="F129" i="5"/>
  <c r="O129" i="5" s="1"/>
  <c r="E131" i="5"/>
  <c r="N131" i="5" s="1"/>
  <c r="D133" i="5"/>
  <c r="M133" i="5" s="1"/>
  <c r="U133" i="5" s="1"/>
  <c r="F133" i="5"/>
  <c r="O133" i="5" s="1"/>
  <c r="E135" i="5"/>
  <c r="N135" i="5" s="1"/>
  <c r="D137" i="5"/>
  <c r="M137" i="5" s="1"/>
  <c r="F137" i="5"/>
  <c r="O137" i="5" s="1"/>
  <c r="E139" i="5"/>
  <c r="N139" i="5" s="1"/>
  <c r="D141" i="5"/>
  <c r="M141" i="5" s="1"/>
  <c r="F141" i="5"/>
  <c r="O141" i="5" s="1"/>
  <c r="D50" i="5"/>
  <c r="M50" i="5" s="1"/>
  <c r="F71" i="5"/>
  <c r="O71" i="5" s="1"/>
  <c r="E92" i="5"/>
  <c r="N92" i="5" s="1"/>
  <c r="D96" i="5"/>
  <c r="M96" i="5" s="1"/>
  <c r="D106" i="5"/>
  <c r="M106" i="5" s="1"/>
  <c r="E143" i="5"/>
  <c r="N143" i="5" s="1"/>
  <c r="E144" i="5"/>
  <c r="N144" i="5" s="1"/>
  <c r="F145" i="5"/>
  <c r="O145" i="5" s="1"/>
  <c r="E147" i="5"/>
  <c r="N147" i="5" s="1"/>
  <c r="E148" i="5"/>
  <c r="N148" i="5" s="1"/>
  <c r="F149" i="5"/>
  <c r="O149" i="5" s="1"/>
  <c r="E151" i="5"/>
  <c r="N151" i="5" s="1"/>
  <c r="E152" i="5"/>
  <c r="N152" i="5" s="1"/>
  <c r="F153" i="5"/>
  <c r="O153" i="5" s="1"/>
  <c r="E155" i="5"/>
  <c r="N155" i="5" s="1"/>
  <c r="E156" i="5"/>
  <c r="N156" i="5" s="1"/>
  <c r="F157" i="5"/>
  <c r="O157" i="5" s="1"/>
  <c r="E159" i="5"/>
  <c r="N159" i="5" s="1"/>
  <c r="E160" i="5"/>
  <c r="N160" i="5" s="1"/>
  <c r="E161" i="5"/>
  <c r="N161" i="5" s="1"/>
  <c r="E162" i="5"/>
  <c r="N162" i="5" s="1"/>
  <c r="E168" i="5"/>
  <c r="N168" i="5" s="1"/>
  <c r="D170" i="5"/>
  <c r="M170" i="5" s="1"/>
  <c r="F170" i="5"/>
  <c r="O170" i="5" s="1"/>
  <c r="E171" i="5"/>
  <c r="N171" i="5" s="1"/>
  <c r="D173" i="5"/>
  <c r="M173" i="5" s="1"/>
  <c r="F173" i="5"/>
  <c r="O173" i="5" s="1"/>
  <c r="D3" i="5"/>
  <c r="M3" i="5" s="1"/>
  <c r="F3" i="5"/>
  <c r="F166" i="6"/>
  <c r="T166" i="6" s="1"/>
  <c r="F168" i="6"/>
  <c r="F170" i="6"/>
  <c r="F172" i="6"/>
  <c r="F174" i="6"/>
  <c r="F161" i="6"/>
  <c r="F163" i="6"/>
  <c r="F3" i="9"/>
  <c r="F176" i="9" s="1"/>
  <c r="E4" i="6"/>
  <c r="E4" i="9"/>
  <c r="E5" i="9"/>
  <c r="F6" i="9"/>
  <c r="F7" i="6"/>
  <c r="F7" i="9"/>
  <c r="E8" i="6"/>
  <c r="E8" i="9"/>
  <c r="G8" i="9" s="1"/>
  <c r="H8" i="9" s="1"/>
  <c r="X9" i="5" s="1"/>
  <c r="F9" i="6"/>
  <c r="E10" i="9"/>
  <c r="F11" i="9"/>
  <c r="E12" i="6"/>
  <c r="E14" i="9"/>
  <c r="D54" i="5"/>
  <c r="M54" i="5" s="1"/>
  <c r="D94" i="5"/>
  <c r="M94" i="5" s="1"/>
  <c r="D100" i="5"/>
  <c r="M100" i="5" s="1"/>
  <c r="E108" i="5"/>
  <c r="N108" i="5" s="1"/>
  <c r="D110" i="5"/>
  <c r="M110" i="5" s="1"/>
  <c r="E112" i="5"/>
  <c r="N112" i="5" s="1"/>
  <c r="D114" i="5"/>
  <c r="M114" i="5" s="1"/>
  <c r="E116" i="5"/>
  <c r="N116" i="5" s="1"/>
  <c r="D118" i="5"/>
  <c r="M118" i="5" s="1"/>
  <c r="E120" i="5"/>
  <c r="N120" i="5" s="1"/>
  <c r="D122" i="5"/>
  <c r="M122" i="5" s="1"/>
  <c r="E124" i="5"/>
  <c r="N124" i="5" s="1"/>
  <c r="D126" i="5"/>
  <c r="M126" i="5" s="1"/>
  <c r="E128" i="5"/>
  <c r="N128" i="5" s="1"/>
  <c r="D130" i="5"/>
  <c r="M130" i="5" s="1"/>
  <c r="E132" i="5"/>
  <c r="N132" i="5" s="1"/>
  <c r="D134" i="5"/>
  <c r="M134" i="5" s="1"/>
  <c r="E136" i="5"/>
  <c r="N136" i="5" s="1"/>
  <c r="D138" i="5"/>
  <c r="M138" i="5" s="1"/>
  <c r="E140" i="5"/>
  <c r="N140" i="5" s="1"/>
  <c r="D142" i="5"/>
  <c r="M142" i="5" s="1"/>
  <c r="D146" i="5"/>
  <c r="M146" i="5" s="1"/>
  <c r="D150" i="5"/>
  <c r="M150" i="5" s="1"/>
  <c r="U150" i="5" s="1"/>
  <c r="D154" i="5"/>
  <c r="M154" i="5" s="1"/>
  <c r="D158" i="5"/>
  <c r="M158" i="5" s="1"/>
  <c r="E163" i="5"/>
  <c r="N163" i="5" s="1"/>
  <c r="E164" i="5"/>
  <c r="N164" i="5" s="1"/>
  <c r="E165" i="5"/>
  <c r="N165" i="5" s="1"/>
  <c r="E166" i="5"/>
  <c r="N166" i="5" s="1"/>
  <c r="D167" i="5"/>
  <c r="M167" i="5" s="1"/>
  <c r="F167" i="5"/>
  <c r="O167" i="5" s="1"/>
  <c r="E169" i="5"/>
  <c r="N169" i="5" s="1"/>
  <c r="E172" i="5"/>
  <c r="N172" i="5" s="1"/>
  <c r="D174" i="5"/>
  <c r="M174" i="5" s="1"/>
  <c r="F174" i="5"/>
  <c r="O174" i="5" s="1"/>
  <c r="E175" i="5"/>
  <c r="N175" i="5" s="1"/>
  <c r="E160" i="9"/>
  <c r="E161" i="9"/>
  <c r="E162" i="9"/>
  <c r="E163" i="9"/>
  <c r="E164" i="9"/>
  <c r="E165" i="6"/>
  <c r="E167" i="6"/>
  <c r="E169" i="6"/>
  <c r="E171" i="6"/>
  <c r="E173" i="6"/>
  <c r="E160" i="6"/>
  <c r="E162" i="6"/>
  <c r="E164" i="6"/>
  <c r="E165" i="9"/>
  <c r="F2" i="6"/>
  <c r="F4" i="9"/>
  <c r="E5" i="6"/>
  <c r="F5" i="9"/>
  <c r="E6" i="6"/>
  <c r="F6" i="6"/>
  <c r="E7" i="6"/>
  <c r="F8" i="9"/>
  <c r="E9" i="6"/>
  <c r="F10" i="9"/>
  <c r="E11" i="6"/>
  <c r="F11" i="6"/>
  <c r="E12" i="9"/>
  <c r="G12" i="9" s="1"/>
  <c r="H12" i="9" s="1"/>
  <c r="F13" i="6"/>
  <c r="F14" i="9"/>
  <c r="E15" i="6"/>
  <c r="F17" i="9"/>
  <c r="E18" i="6"/>
  <c r="F18" i="6"/>
  <c r="E20" i="9"/>
  <c r="F21" i="6"/>
  <c r="F22" i="9"/>
  <c r="E23" i="6"/>
  <c r="E23" i="9"/>
  <c r="F24" i="9"/>
  <c r="E25" i="6"/>
  <c r="E25" i="9"/>
  <c r="F26" i="6"/>
  <c r="E64" i="5"/>
  <c r="N64" i="5" s="1"/>
  <c r="D67" i="5"/>
  <c r="M67" i="5" s="1"/>
  <c r="E77" i="5"/>
  <c r="N77" i="5" s="1"/>
  <c r="E82" i="5"/>
  <c r="N82" i="5" s="1"/>
  <c r="D91" i="5"/>
  <c r="M91" i="5" s="1"/>
  <c r="D98" i="5"/>
  <c r="M98" i="5" s="1"/>
  <c r="D104" i="5"/>
  <c r="M104" i="5" s="1"/>
  <c r="F110" i="5"/>
  <c r="O110" i="5" s="1"/>
  <c r="F114" i="5"/>
  <c r="O114" i="5" s="1"/>
  <c r="F118" i="5"/>
  <c r="O118" i="5" s="1"/>
  <c r="F122" i="5"/>
  <c r="O122" i="5" s="1"/>
  <c r="F126" i="5"/>
  <c r="O126" i="5" s="1"/>
  <c r="F130" i="5"/>
  <c r="O130" i="5" s="1"/>
  <c r="F134" i="5"/>
  <c r="O134" i="5" s="1"/>
  <c r="F138" i="5"/>
  <c r="O138" i="5" s="1"/>
  <c r="D145" i="5"/>
  <c r="M145" i="5" s="1"/>
  <c r="D149" i="5"/>
  <c r="M149" i="5" s="1"/>
  <c r="U149" i="5" s="1"/>
  <c r="D153" i="5"/>
  <c r="M153" i="5" s="1"/>
  <c r="D157" i="5"/>
  <c r="M157" i="5" s="1"/>
  <c r="D161" i="5"/>
  <c r="M161" i="5" s="1"/>
  <c r="F161" i="5"/>
  <c r="O161" i="5" s="1"/>
  <c r="D162" i="5"/>
  <c r="M162" i="5" s="1"/>
  <c r="F162" i="5"/>
  <c r="O162" i="5" s="1"/>
  <c r="D168" i="5"/>
  <c r="M168" i="5" s="1"/>
  <c r="F168" i="5"/>
  <c r="O168" i="5" s="1"/>
  <c r="E170" i="5"/>
  <c r="N170" i="5" s="1"/>
  <c r="D171" i="5"/>
  <c r="M171" i="5" s="1"/>
  <c r="F171" i="5"/>
  <c r="O171" i="5" s="1"/>
  <c r="E173" i="5"/>
  <c r="N173" i="5" s="1"/>
  <c r="E3" i="5"/>
  <c r="F160" i="9"/>
  <c r="F161" i="9"/>
  <c r="F162" i="9"/>
  <c r="F163" i="9"/>
  <c r="F164" i="9"/>
  <c r="F165" i="6"/>
  <c r="F167" i="6"/>
  <c r="F169" i="6"/>
  <c r="F171" i="6"/>
  <c r="F173" i="6"/>
  <c r="F160" i="6"/>
  <c r="F162" i="6"/>
  <c r="F164" i="6"/>
  <c r="F165" i="9"/>
  <c r="E2" i="6"/>
  <c r="E2" i="9"/>
  <c r="F3" i="6"/>
  <c r="F5" i="6"/>
  <c r="E9" i="9"/>
  <c r="F10" i="6"/>
  <c r="F12" i="9"/>
  <c r="E13" i="6"/>
  <c r="E13" i="9"/>
  <c r="G13" i="9" s="1"/>
  <c r="H13" i="9" s="1"/>
  <c r="X14" i="5" s="1"/>
  <c r="F14" i="6"/>
  <c r="E15" i="9"/>
  <c r="F16" i="6"/>
  <c r="E19" i="9"/>
  <c r="G19" i="9" s="1"/>
  <c r="H19" i="9" s="1"/>
  <c r="F20" i="9"/>
  <c r="E21" i="6"/>
  <c r="F23" i="9"/>
  <c r="E24" i="6"/>
  <c r="F24" i="6"/>
  <c r="F25" i="9"/>
  <c r="E26" i="6"/>
  <c r="E27" i="9"/>
  <c r="G27" i="9" s="1"/>
  <c r="H27" i="9" s="1"/>
  <c r="X28" i="5" s="1"/>
  <c r="F28" i="9"/>
  <c r="G28" i="9" s="1"/>
  <c r="H28" i="9" s="1"/>
  <c r="X29" i="5" s="1"/>
  <c r="E29" i="6"/>
  <c r="F63" i="5"/>
  <c r="O63" i="5" s="1"/>
  <c r="D102" i="5"/>
  <c r="M102" i="5" s="1"/>
  <c r="F150" i="5"/>
  <c r="O150" i="5" s="1"/>
  <c r="D163" i="5"/>
  <c r="M163" i="5" s="1"/>
  <c r="U163" i="5" s="1"/>
  <c r="D165" i="5"/>
  <c r="M165" i="5" s="1"/>
  <c r="F169" i="5"/>
  <c r="O169" i="5" s="1"/>
  <c r="F172" i="5"/>
  <c r="O172" i="5" s="1"/>
  <c r="E168" i="6"/>
  <c r="E161" i="6"/>
  <c r="E10" i="6"/>
  <c r="E17" i="6"/>
  <c r="E17" i="9"/>
  <c r="E19" i="6"/>
  <c r="E20" i="6"/>
  <c r="E24" i="9"/>
  <c r="F25" i="6"/>
  <c r="E26" i="9"/>
  <c r="F34" i="9"/>
  <c r="E35" i="6"/>
  <c r="E38" i="9"/>
  <c r="F39" i="6"/>
  <c r="F40" i="6"/>
  <c r="E41" i="9"/>
  <c r="E43" i="6"/>
  <c r="F43" i="6"/>
  <c r="E45" i="9"/>
  <c r="G45" i="9" s="1"/>
  <c r="H45" i="9" s="1"/>
  <c r="X46" i="5" s="1"/>
  <c r="F46" i="9"/>
  <c r="E47" i="6"/>
  <c r="E47" i="9"/>
  <c r="F48" i="6"/>
  <c r="F49" i="9"/>
  <c r="E50" i="6"/>
  <c r="E50" i="9"/>
  <c r="F51" i="6"/>
  <c r="F52" i="9"/>
  <c r="E53" i="6"/>
  <c r="E54" i="9"/>
  <c r="F55" i="9"/>
  <c r="E56" i="6"/>
  <c r="F56" i="6"/>
  <c r="F58" i="9"/>
  <c r="E59" i="6"/>
  <c r="E59" i="9"/>
  <c r="G59" i="9" s="1"/>
  <c r="H59" i="9" s="1"/>
  <c r="F60" i="9"/>
  <c r="E61" i="6"/>
  <c r="F61" i="6"/>
  <c r="F62" i="9"/>
  <c r="E63" i="6"/>
  <c r="F63" i="6"/>
  <c r="F64" i="9"/>
  <c r="E65" i="6"/>
  <c r="E65" i="9"/>
  <c r="F66" i="6"/>
  <c r="E67" i="9"/>
  <c r="G67" i="9" s="1"/>
  <c r="H67" i="9" s="1"/>
  <c r="X68" i="5" s="1"/>
  <c r="F68" i="6"/>
  <c r="E69" i="9"/>
  <c r="F70" i="9"/>
  <c r="G70" i="9" s="1"/>
  <c r="H70" i="9" s="1"/>
  <c r="X71" i="5" s="1"/>
  <c r="E71" i="6"/>
  <c r="F71" i="6"/>
  <c r="E73" i="9"/>
  <c r="F74" i="6"/>
  <c r="E76" i="9"/>
  <c r="G76" i="9" s="1"/>
  <c r="H76" i="9" s="1"/>
  <c r="X77" i="5" s="1"/>
  <c r="F77" i="9"/>
  <c r="E78" i="6"/>
  <c r="F78" i="6"/>
  <c r="E80" i="9"/>
  <c r="G80" i="9" s="1"/>
  <c r="H80" i="9" s="1"/>
  <c r="X81" i="5" s="1"/>
  <c r="F154" i="5"/>
  <c r="O154" i="5" s="1"/>
  <c r="F163" i="5"/>
  <c r="O163" i="5" s="1"/>
  <c r="F165" i="5"/>
  <c r="O165" i="5" s="1"/>
  <c r="E170" i="6"/>
  <c r="E163" i="6"/>
  <c r="E3" i="6"/>
  <c r="F4" i="6"/>
  <c r="E7" i="9"/>
  <c r="G7" i="9" s="1"/>
  <c r="H7" i="9" s="1"/>
  <c r="X8" i="5" s="1"/>
  <c r="F12" i="6"/>
  <c r="E14" i="6"/>
  <c r="E16" i="6"/>
  <c r="E16" i="9"/>
  <c r="G16" i="9" s="1"/>
  <c r="H16" i="9" s="1"/>
  <c r="X17" i="5" s="1"/>
  <c r="F17" i="6"/>
  <c r="E18" i="9"/>
  <c r="G18" i="9" s="1"/>
  <c r="H18" i="9" s="1"/>
  <c r="X19" i="5" s="1"/>
  <c r="F19" i="9"/>
  <c r="E22" i="6"/>
  <c r="E22" i="9"/>
  <c r="G22" i="9" s="1"/>
  <c r="H22" i="9" s="1"/>
  <c r="X23" i="5" s="1"/>
  <c r="F23" i="6"/>
  <c r="F26" i="9"/>
  <c r="F29" i="6"/>
  <c r="E29" i="9"/>
  <c r="F30" i="6"/>
  <c r="E31" i="9"/>
  <c r="F32" i="6"/>
  <c r="E33" i="9"/>
  <c r="F34" i="6"/>
  <c r="E35" i="9"/>
  <c r="F36" i="6"/>
  <c r="E37" i="9"/>
  <c r="F38" i="9"/>
  <c r="E39" i="6"/>
  <c r="E40" i="6"/>
  <c r="E40" i="9"/>
  <c r="F41" i="9"/>
  <c r="E42" i="6"/>
  <c r="E42" i="9"/>
  <c r="G42" i="9" s="1"/>
  <c r="H42" i="9" s="1"/>
  <c r="X43" i="5" s="1"/>
  <c r="E44" i="9"/>
  <c r="F45" i="9"/>
  <c r="E46" i="6"/>
  <c r="F46" i="6"/>
  <c r="F47" i="9"/>
  <c r="E48" i="6"/>
  <c r="E48" i="9"/>
  <c r="F49" i="6"/>
  <c r="F50" i="9"/>
  <c r="E51" i="6"/>
  <c r="E51" i="9"/>
  <c r="F52" i="6"/>
  <c r="E53" i="9"/>
  <c r="F54" i="9"/>
  <c r="E55" i="6"/>
  <c r="F55" i="6"/>
  <c r="E57" i="9"/>
  <c r="F58" i="6"/>
  <c r="F59" i="9"/>
  <c r="E60" i="6"/>
  <c r="F60" i="6"/>
  <c r="F65" i="9"/>
  <c r="E66" i="6"/>
  <c r="E66" i="9"/>
  <c r="G66" i="9" s="1"/>
  <c r="H66" i="9" s="1"/>
  <c r="F67" i="9"/>
  <c r="E68" i="6"/>
  <c r="E68" i="9"/>
  <c r="F69" i="9"/>
  <c r="E70" i="6"/>
  <c r="F70" i="6"/>
  <c r="E72" i="9"/>
  <c r="F73" i="9"/>
  <c r="E74" i="6"/>
  <c r="E75" i="9"/>
  <c r="F76" i="9"/>
  <c r="E77" i="6"/>
  <c r="F77" i="6"/>
  <c r="E79" i="9"/>
  <c r="F80" i="9"/>
  <c r="E81" i="6"/>
  <c r="F81" i="6"/>
  <c r="F82" i="9"/>
  <c r="E83" i="6"/>
  <c r="F85" i="9"/>
  <c r="E86" i="6"/>
  <c r="F86" i="6"/>
  <c r="F88" i="9"/>
  <c r="G88" i="9" s="1"/>
  <c r="H88" i="9" s="1"/>
  <c r="X89" i="5" s="1"/>
  <c r="E89" i="6"/>
  <c r="E90" i="9"/>
  <c r="F91" i="9"/>
  <c r="E92" i="6"/>
  <c r="F93" i="9"/>
  <c r="E94" i="6"/>
  <c r="F95" i="9"/>
  <c r="E96" i="6"/>
  <c r="E97" i="9"/>
  <c r="G97" i="9" s="1"/>
  <c r="H97" i="9" s="1"/>
  <c r="X98" i="5" s="1"/>
  <c r="F98" i="9"/>
  <c r="E99" i="6"/>
  <c r="E100" i="9"/>
  <c r="G100" i="9" s="1"/>
  <c r="H100" i="9" s="1"/>
  <c r="D46" i="5"/>
  <c r="M46" i="5" s="1"/>
  <c r="F142" i="5"/>
  <c r="O142" i="5" s="1"/>
  <c r="F158" i="5"/>
  <c r="O158" i="5" s="1"/>
  <c r="D164" i="5"/>
  <c r="M164" i="5" s="1"/>
  <c r="D166" i="5"/>
  <c r="M166" i="5" s="1"/>
  <c r="D175" i="5"/>
  <c r="M175" i="5" s="1"/>
  <c r="U175" i="5" s="1"/>
  <c r="E172" i="6"/>
  <c r="E6" i="9"/>
  <c r="F9" i="9"/>
  <c r="F15" i="9"/>
  <c r="F16" i="9"/>
  <c r="F18" i="9"/>
  <c r="F19" i="6"/>
  <c r="F20" i="6"/>
  <c r="E21" i="9"/>
  <c r="G21" i="9" s="1"/>
  <c r="H21" i="9" s="1"/>
  <c r="F22" i="6"/>
  <c r="F27" i="6"/>
  <c r="F28" i="6"/>
  <c r="F29" i="9"/>
  <c r="E30" i="6"/>
  <c r="E30" i="9"/>
  <c r="G30" i="9" s="1"/>
  <c r="H30" i="9" s="1"/>
  <c r="X31" i="5" s="1"/>
  <c r="F31" i="9"/>
  <c r="E32" i="6"/>
  <c r="E32" i="9"/>
  <c r="F33" i="9"/>
  <c r="E34" i="6"/>
  <c r="F35" i="9"/>
  <c r="E36" i="6"/>
  <c r="E36" i="9"/>
  <c r="G36" i="9" s="1"/>
  <c r="H36" i="9" s="1"/>
  <c r="F37" i="9"/>
  <c r="E38" i="6"/>
  <c r="F38" i="6"/>
  <c r="E39" i="9"/>
  <c r="G39" i="9" s="1"/>
  <c r="H39" i="9" s="1"/>
  <c r="X40" i="5" s="1"/>
  <c r="F40" i="9"/>
  <c r="E41" i="6"/>
  <c r="F41" i="6"/>
  <c r="F42" i="9"/>
  <c r="E43" i="9"/>
  <c r="G43" i="9" s="1"/>
  <c r="H43" i="9" s="1"/>
  <c r="F44" i="9"/>
  <c r="E45" i="6"/>
  <c r="F45" i="6"/>
  <c r="F48" i="9"/>
  <c r="E49" i="6"/>
  <c r="F51" i="9"/>
  <c r="E52" i="6"/>
  <c r="F53" i="9"/>
  <c r="E54" i="6"/>
  <c r="F54" i="6"/>
  <c r="E56" i="9"/>
  <c r="G56" i="9" s="1"/>
  <c r="H56" i="9" s="1"/>
  <c r="X57" i="5" s="1"/>
  <c r="F57" i="9"/>
  <c r="E58" i="6"/>
  <c r="E61" i="9"/>
  <c r="G61" i="9" s="1"/>
  <c r="H61" i="9" s="1"/>
  <c r="F62" i="6"/>
  <c r="E63" i="9"/>
  <c r="G63" i="9" s="1"/>
  <c r="H63" i="9" s="1"/>
  <c r="X64" i="5" s="1"/>
  <c r="F64" i="6"/>
  <c r="F66" i="9"/>
  <c r="E67" i="6"/>
  <c r="F67" i="6"/>
  <c r="F68" i="9"/>
  <c r="E69" i="6"/>
  <c r="F69" i="6"/>
  <c r="E71" i="9"/>
  <c r="G71" i="9" s="1"/>
  <c r="H71" i="9" s="1"/>
  <c r="X72" i="5" s="1"/>
  <c r="F72" i="9"/>
  <c r="E73" i="6"/>
  <c r="F73" i="6"/>
  <c r="E74" i="9"/>
  <c r="F75" i="9"/>
  <c r="E76" i="6"/>
  <c r="F76" i="6"/>
  <c r="E78" i="9"/>
  <c r="F79" i="9"/>
  <c r="E80" i="6"/>
  <c r="F80" i="6"/>
  <c r="E83" i="9"/>
  <c r="G83" i="9" s="1"/>
  <c r="H83" i="9" s="1"/>
  <c r="X84" i="5" s="1"/>
  <c r="F84" i="6"/>
  <c r="E87" i="9"/>
  <c r="F88" i="6"/>
  <c r="E89" i="9"/>
  <c r="G89" i="9" s="1"/>
  <c r="H89" i="9" s="1"/>
  <c r="F90" i="9"/>
  <c r="E91" i="6"/>
  <c r="F91" i="6"/>
  <c r="E92" i="9"/>
  <c r="F93" i="6"/>
  <c r="E94" i="9"/>
  <c r="F95" i="6"/>
  <c r="E96" i="9"/>
  <c r="G96" i="9" s="1"/>
  <c r="H96" i="9" s="1"/>
  <c r="X97" i="5" s="1"/>
  <c r="F97" i="9"/>
  <c r="E98" i="6"/>
  <c r="F98" i="6"/>
  <c r="X22" i="5"/>
  <c r="X20" i="5"/>
  <c r="X53" i="5"/>
  <c r="X13" i="5"/>
  <c r="X44" i="5"/>
  <c r="X67" i="5"/>
  <c r="X85" i="5"/>
  <c r="X101" i="5"/>
  <c r="X105" i="5"/>
  <c r="X37" i="5"/>
  <c r="X82" i="5"/>
  <c r="X100" i="5"/>
  <c r="X102" i="5"/>
  <c r="X106" i="5"/>
  <c r="X123" i="5"/>
  <c r="X127" i="5"/>
  <c r="X131" i="5"/>
  <c r="X135" i="5"/>
  <c r="X147" i="5"/>
  <c r="X151" i="5"/>
  <c r="X155" i="5"/>
  <c r="X108" i="5"/>
  <c r="X120" i="5"/>
  <c r="X124" i="5"/>
  <c r="X144" i="5"/>
  <c r="X148" i="5"/>
  <c r="X160" i="5"/>
  <c r="X62" i="5"/>
  <c r="X90" i="5"/>
  <c r="X109" i="5"/>
  <c r="X117" i="5"/>
  <c r="X133" i="5"/>
  <c r="X110" i="5"/>
  <c r="X118" i="5"/>
  <c r="X126" i="5"/>
  <c r="X138" i="5"/>
  <c r="X167" i="5"/>
  <c r="X170" i="5"/>
  <c r="X60" i="5"/>
  <c r="X162" i="5"/>
  <c r="X164" i="5"/>
  <c r="X165" i="5"/>
  <c r="X154" i="5"/>
  <c r="X146" i="5"/>
  <c r="X169" i="5"/>
  <c r="X172" i="5"/>
  <c r="U170" i="5"/>
  <c r="U174" i="5"/>
  <c r="U162" i="5"/>
  <c r="E174" i="9"/>
  <c r="F173" i="9"/>
  <c r="E170" i="9"/>
  <c r="G170" i="9" s="1"/>
  <c r="H170" i="9" s="1"/>
  <c r="X171" i="5" s="1"/>
  <c r="F159" i="6"/>
  <c r="E159" i="6"/>
  <c r="F158" i="9"/>
  <c r="E157" i="9"/>
  <c r="G157" i="9" s="1"/>
  <c r="H157" i="9" s="1"/>
  <c r="X158" i="5" s="1"/>
  <c r="F156" i="6"/>
  <c r="E156" i="6"/>
  <c r="F155" i="9"/>
  <c r="G155" i="9" s="1"/>
  <c r="H155" i="9" s="1"/>
  <c r="X156" i="5" s="1"/>
  <c r="F153" i="6"/>
  <c r="E153" i="6"/>
  <c r="F152" i="9"/>
  <c r="G152" i="9" s="1"/>
  <c r="H152" i="9" s="1"/>
  <c r="X153" i="5" s="1"/>
  <c r="E151" i="9"/>
  <c r="G151" i="9" s="1"/>
  <c r="H151" i="9" s="1"/>
  <c r="X152" i="5" s="1"/>
  <c r="F149" i="6"/>
  <c r="E149" i="6"/>
  <c r="F148" i="9"/>
  <c r="G148" i="9" s="1"/>
  <c r="H148" i="9" s="1"/>
  <c r="X149" i="5" s="1"/>
  <c r="E147" i="9"/>
  <c r="G147" i="9" s="1"/>
  <c r="H147" i="9" s="1"/>
  <c r="F145" i="6"/>
  <c r="E145" i="6"/>
  <c r="F144" i="9"/>
  <c r="G144" i="9" s="1"/>
  <c r="H144" i="9" s="1"/>
  <c r="X145" i="5" s="1"/>
  <c r="E143" i="6"/>
  <c r="F142" i="9"/>
  <c r="G142" i="9" s="1"/>
  <c r="H142" i="9" s="1"/>
  <c r="X143" i="5" s="1"/>
  <c r="E141" i="9"/>
  <c r="E140" i="6"/>
  <c r="F139" i="9"/>
  <c r="G139" i="9" s="1"/>
  <c r="H139" i="9" s="1"/>
  <c r="X140" i="5" s="1"/>
  <c r="E138" i="9"/>
  <c r="G138" i="9" s="1"/>
  <c r="H138" i="9" s="1"/>
  <c r="X139" i="5" s="1"/>
  <c r="F137" i="6"/>
  <c r="E137" i="6"/>
  <c r="F136" i="9"/>
  <c r="G136" i="9" s="1"/>
  <c r="H136" i="9" s="1"/>
  <c r="X137" i="5" s="1"/>
  <c r="F134" i="6"/>
  <c r="E134" i="6"/>
  <c r="F133" i="9"/>
  <c r="G133" i="9" s="1"/>
  <c r="H133" i="9" s="1"/>
  <c r="X134" i="5" s="1"/>
  <c r="E132" i="9"/>
  <c r="G132" i="9" s="1"/>
  <c r="H132" i="9" s="1"/>
  <c r="F130" i="6"/>
  <c r="E130" i="6"/>
  <c r="F129" i="9"/>
  <c r="G129" i="9" s="1"/>
  <c r="H129" i="9" s="1"/>
  <c r="X130" i="5" s="1"/>
  <c r="E128" i="6"/>
  <c r="F127" i="9"/>
  <c r="G127" i="9" s="1"/>
  <c r="H127" i="9" s="1"/>
  <c r="X128" i="5" s="1"/>
  <c r="F125" i="6"/>
  <c r="E124" i="9"/>
  <c r="F122" i="6"/>
  <c r="E122" i="6"/>
  <c r="F121" i="9"/>
  <c r="G121" i="9" s="1"/>
  <c r="H121" i="9" s="1"/>
  <c r="X122" i="5" s="1"/>
  <c r="F119" i="6"/>
  <c r="E119" i="6"/>
  <c r="F118" i="9"/>
  <c r="G118" i="9" s="1"/>
  <c r="H118" i="9" s="1"/>
  <c r="X119" i="5" s="1"/>
  <c r="F117" i="6"/>
  <c r="E117" i="6"/>
  <c r="F116" i="9"/>
  <c r="E115" i="9"/>
  <c r="G115" i="9" s="1"/>
  <c r="H115" i="9" s="1"/>
  <c r="X116" i="5" s="1"/>
  <c r="E114" i="6"/>
  <c r="F113" i="9"/>
  <c r="G113" i="9" s="1"/>
  <c r="H113" i="9" s="1"/>
  <c r="X114" i="5" s="1"/>
  <c r="E112" i="9"/>
  <c r="G112" i="9" s="1"/>
  <c r="H112" i="9" s="1"/>
  <c r="X113" i="5" s="1"/>
  <c r="F111" i="6"/>
  <c r="E111" i="6"/>
  <c r="F110" i="9"/>
  <c r="G110" i="9" s="1"/>
  <c r="H110" i="9" s="1"/>
  <c r="X111" i="5" s="1"/>
  <c r="E109" i="9"/>
  <c r="G109" i="9" s="1"/>
  <c r="H109" i="9" s="1"/>
  <c r="F107" i="6"/>
  <c r="E106" i="9"/>
  <c r="F105" i="6"/>
  <c r="E104" i="9"/>
  <c r="G104" i="9" s="1"/>
  <c r="H104" i="9" s="1"/>
  <c r="E104" i="6"/>
  <c r="F103" i="9"/>
  <c r="G103" i="9" s="1"/>
  <c r="H103" i="9" s="1"/>
  <c r="X104" i="5" s="1"/>
  <c r="F101" i="6"/>
  <c r="F100" i="6"/>
  <c r="E98" i="9"/>
  <c r="G98" i="9" s="1"/>
  <c r="H98" i="9" s="1"/>
  <c r="X99" i="5" s="1"/>
  <c r="F97" i="6"/>
  <c r="F96" i="6"/>
  <c r="E95" i="9"/>
  <c r="F94" i="9"/>
  <c r="E93" i="6"/>
  <c r="F87" i="9"/>
  <c r="E86" i="9"/>
  <c r="G86" i="9" s="1"/>
  <c r="H86" i="9" s="1"/>
  <c r="X87" i="5" s="1"/>
  <c r="F83" i="6"/>
  <c r="E82" i="9"/>
  <c r="G82" i="9" s="1"/>
  <c r="H82" i="9" s="1"/>
  <c r="X83" i="5" s="1"/>
  <c r="E82" i="6"/>
  <c r="F79" i="6"/>
  <c r="F74" i="9"/>
  <c r="F57" i="6"/>
  <c r="E52" i="9"/>
  <c r="G52" i="9" s="1"/>
  <c r="H52" i="9" s="1"/>
  <c r="K41" i="8"/>
  <c r="O75" i="8" s="1"/>
  <c r="K30" i="8"/>
  <c r="O47" i="8" s="1"/>
  <c r="F37" i="6"/>
  <c r="F32" i="9"/>
  <c r="E11" i="9"/>
  <c r="G11" i="9" s="1"/>
  <c r="H11" i="9" s="1"/>
  <c r="X12" i="5" s="1"/>
  <c r="V164" i="5"/>
  <c r="R163" i="8"/>
  <c r="E174" i="6"/>
  <c r="F76" i="5"/>
  <c r="O76" i="5" s="1"/>
  <c r="V165" i="5"/>
  <c r="R164" i="8"/>
  <c r="G10" i="8"/>
  <c r="I10" i="8" s="1"/>
  <c r="J10" i="8" s="1"/>
  <c r="K10" i="8" s="1"/>
  <c r="G4" i="8"/>
  <c r="I4" i="8" s="1"/>
  <c r="J4" i="8" s="1"/>
  <c r="K4" i="8" s="1"/>
  <c r="G5" i="8"/>
  <c r="I5" i="8" s="1"/>
  <c r="J5" i="8" s="1"/>
  <c r="K5" i="8" s="1"/>
  <c r="O9" i="8" s="1"/>
  <c r="G6" i="8"/>
  <c r="I6" i="8" s="1"/>
  <c r="J6" i="8" s="1"/>
  <c r="K6" i="8" s="1"/>
  <c r="G8" i="8"/>
  <c r="I8" i="8" s="1"/>
  <c r="J8" i="8" s="1"/>
  <c r="K8" i="8" s="1"/>
  <c r="O13" i="8" s="1"/>
  <c r="G12" i="8"/>
  <c r="I12" i="8" s="1"/>
  <c r="J12" i="8" s="1"/>
  <c r="K12" i="8" s="1"/>
  <c r="O21" i="8" s="1"/>
  <c r="G15" i="8"/>
  <c r="I15" i="8" s="1"/>
  <c r="J15" i="8" s="1"/>
  <c r="K15" i="8" s="1"/>
  <c r="O26" i="8" s="1"/>
  <c r="G7" i="8"/>
  <c r="I7" i="8" s="1"/>
  <c r="J7" i="8" s="1"/>
  <c r="K7" i="8" s="1"/>
  <c r="O10" i="8" s="1"/>
  <c r="X12" i="6"/>
  <c r="Z12" i="6" s="1"/>
  <c r="AB12" i="6" s="1"/>
  <c r="X13" i="6"/>
  <c r="Z13" i="6" s="1"/>
  <c r="AB13" i="6" s="1"/>
  <c r="V162" i="5"/>
  <c r="R161" i="8"/>
  <c r="V163" i="5"/>
  <c r="R162" i="8"/>
  <c r="U171" i="5"/>
  <c r="U169" i="5"/>
  <c r="U155" i="5"/>
  <c r="U151" i="5"/>
  <c r="U147" i="5"/>
  <c r="U139" i="5"/>
  <c r="U135" i="5"/>
  <c r="U131" i="5"/>
  <c r="U123" i="5"/>
  <c r="U119" i="5"/>
  <c r="V161" i="5"/>
  <c r="U172" i="5"/>
  <c r="U160" i="5"/>
  <c r="U156" i="5"/>
  <c r="U152" i="5"/>
  <c r="U144" i="5"/>
  <c r="U140" i="5"/>
  <c r="U136" i="5"/>
  <c r="U128" i="5"/>
  <c r="U124" i="5"/>
  <c r="U120" i="5"/>
  <c r="U173" i="5"/>
  <c r="U167" i="5"/>
  <c r="U157" i="5"/>
  <c r="U153" i="5"/>
  <c r="U145" i="5"/>
  <c r="U141" i="5"/>
  <c r="U137" i="5"/>
  <c r="U129" i="5"/>
  <c r="U125" i="5"/>
  <c r="U121" i="5"/>
  <c r="U165" i="5"/>
  <c r="U161" i="5"/>
  <c r="U158" i="5"/>
  <c r="U154" i="5"/>
  <c r="U146" i="5"/>
  <c r="U142" i="5"/>
  <c r="U134" i="5"/>
  <c r="U130" i="5"/>
  <c r="U126" i="5"/>
  <c r="U118" i="5"/>
  <c r="X162" i="4"/>
  <c r="X159" i="4"/>
  <c r="X127" i="4"/>
  <c r="X95" i="4"/>
  <c r="X63" i="4"/>
  <c r="X31" i="4"/>
  <c r="X170" i="4"/>
  <c r="X133" i="4"/>
  <c r="X101" i="4"/>
  <c r="X69" i="4"/>
  <c r="X37" i="4"/>
  <c r="X5" i="4"/>
  <c r="X139" i="4"/>
  <c r="X107" i="4"/>
  <c r="X75" i="4"/>
  <c r="X43" i="4"/>
  <c r="X11" i="4"/>
  <c r="X145" i="4"/>
  <c r="X113" i="4"/>
  <c r="X81" i="4"/>
  <c r="X49" i="4"/>
  <c r="X17" i="4"/>
  <c r="X34" i="4"/>
  <c r="X66" i="4"/>
  <c r="X98" i="4"/>
  <c r="X130" i="4"/>
  <c r="X167" i="4"/>
  <c r="X20" i="4"/>
  <c r="X52" i="4"/>
  <c r="X84" i="4"/>
  <c r="X116" i="4"/>
  <c r="X148" i="4"/>
  <c r="X24" i="4"/>
  <c r="X88" i="4"/>
  <c r="X152" i="4"/>
  <c r="X22" i="4"/>
  <c r="X54" i="4"/>
  <c r="X86" i="4"/>
  <c r="X118" i="4"/>
  <c r="X150" i="4"/>
  <c r="X32" i="4"/>
  <c r="X96" i="4"/>
  <c r="X160" i="4"/>
  <c r="X163" i="4"/>
  <c r="X3" i="4"/>
  <c r="X172" i="4"/>
  <c r="X135" i="4"/>
  <c r="X103" i="4"/>
  <c r="X71" i="4"/>
  <c r="X39" i="4"/>
  <c r="X7" i="4"/>
  <c r="X141" i="4"/>
  <c r="X109" i="4"/>
  <c r="X77" i="4"/>
  <c r="X45" i="4"/>
  <c r="X13" i="4"/>
  <c r="X147" i="4"/>
  <c r="X115" i="4"/>
  <c r="X83" i="4"/>
  <c r="X51" i="4"/>
  <c r="X19" i="4"/>
  <c r="X153" i="4"/>
  <c r="X121" i="4"/>
  <c r="X89" i="4"/>
  <c r="X57" i="4"/>
  <c r="X25" i="4"/>
  <c r="X26" i="4"/>
  <c r="X58" i="4"/>
  <c r="X90" i="4"/>
  <c r="X122" i="4"/>
  <c r="X154" i="4"/>
  <c r="X12" i="4"/>
  <c r="X44" i="4"/>
  <c r="X76" i="4"/>
  <c r="X108" i="4"/>
  <c r="X140" i="4"/>
  <c r="X16" i="4"/>
  <c r="X72" i="4"/>
  <c r="X136" i="4"/>
  <c r="X14" i="4"/>
  <c r="X46" i="4"/>
  <c r="X78" i="4"/>
  <c r="X110" i="4"/>
  <c r="X142" i="4"/>
  <c r="X8" i="4"/>
  <c r="X80" i="4"/>
  <c r="X144" i="4"/>
  <c r="X164" i="4"/>
  <c r="X165" i="4"/>
  <c r="D177" i="5"/>
  <c r="K42" i="6"/>
  <c r="O42" i="6" s="1"/>
  <c r="E42" i="10"/>
  <c r="U164" i="5"/>
  <c r="U168" i="5"/>
  <c r="I19" i="4"/>
  <c r="I47" i="4"/>
  <c r="I159" i="4" l="1"/>
  <c r="I63" i="4"/>
  <c r="I35" i="4"/>
  <c r="I111" i="4"/>
  <c r="I3" i="4"/>
  <c r="I55" i="4"/>
  <c r="I172" i="4"/>
  <c r="I151" i="4"/>
  <c r="I15" i="4"/>
  <c r="I79" i="4"/>
  <c r="I51" i="4"/>
  <c r="I127" i="4"/>
  <c r="I83" i="4"/>
  <c r="I71" i="4"/>
  <c r="I31" i="4"/>
  <c r="I95" i="4"/>
  <c r="I67" i="4"/>
  <c r="I143" i="4"/>
  <c r="I103" i="4"/>
  <c r="AB177" i="4"/>
  <c r="H177" i="4"/>
  <c r="I7" i="4"/>
  <c r="I39" i="4"/>
  <c r="I91" i="4"/>
  <c r="I17" i="4"/>
  <c r="I49" i="4"/>
  <c r="I85" i="4"/>
  <c r="I117" i="4"/>
  <c r="I153" i="4"/>
  <c r="I18" i="4"/>
  <c r="I50" i="4"/>
  <c r="I82" i="4"/>
  <c r="I130" i="4"/>
  <c r="I4" i="4"/>
  <c r="I20" i="4"/>
  <c r="I36" i="4"/>
  <c r="I52" i="4"/>
  <c r="I68" i="4"/>
  <c r="I84" i="4"/>
  <c r="I100" i="4"/>
  <c r="I116" i="4"/>
  <c r="I132" i="4"/>
  <c r="I148" i="4"/>
  <c r="I169" i="4"/>
  <c r="I29" i="4"/>
  <c r="I61" i="4"/>
  <c r="I97" i="4"/>
  <c r="I129" i="4"/>
  <c r="I170" i="4"/>
  <c r="I30" i="4"/>
  <c r="I58" i="4"/>
  <c r="I98" i="4"/>
  <c r="I138" i="4"/>
  <c r="I5" i="4"/>
  <c r="I110" i="4"/>
  <c r="I167" i="4"/>
  <c r="I155" i="4"/>
  <c r="I114" i="4"/>
  <c r="I32" i="4"/>
  <c r="I80" i="4"/>
  <c r="I112" i="4"/>
  <c r="I144" i="4"/>
  <c r="I53" i="4"/>
  <c r="I121" i="4"/>
  <c r="I54" i="4"/>
  <c r="I175" i="4"/>
  <c r="I146" i="4"/>
  <c r="I11" i="4"/>
  <c r="I43" i="4"/>
  <c r="I75" i="4"/>
  <c r="I99" i="4"/>
  <c r="I115" i="4"/>
  <c r="I131" i="4"/>
  <c r="I147" i="4"/>
  <c r="I168" i="4"/>
  <c r="I25" i="4"/>
  <c r="I57" i="4"/>
  <c r="I93" i="4"/>
  <c r="I125" i="4"/>
  <c r="I166" i="4"/>
  <c r="I26" i="4"/>
  <c r="I62" i="4"/>
  <c r="I94" i="4"/>
  <c r="I142" i="4"/>
  <c r="I8" i="4"/>
  <c r="I24" i="4"/>
  <c r="I40" i="4"/>
  <c r="I56" i="4"/>
  <c r="I72" i="4"/>
  <c r="I88" i="4"/>
  <c r="I104" i="4"/>
  <c r="I120" i="4"/>
  <c r="I136" i="4"/>
  <c r="I152" i="4"/>
  <c r="I173" i="4"/>
  <c r="I37" i="4"/>
  <c r="I73" i="4"/>
  <c r="I105" i="4"/>
  <c r="I137" i="4"/>
  <c r="I6" i="4"/>
  <c r="I38" i="4"/>
  <c r="I70" i="4"/>
  <c r="I106" i="4"/>
  <c r="I150" i="4"/>
  <c r="I69" i="4"/>
  <c r="I122" i="4"/>
  <c r="I141" i="4"/>
  <c r="I160" i="4"/>
  <c r="I86" i="4"/>
  <c r="I23" i="4"/>
  <c r="I33" i="4"/>
  <c r="I65" i="4"/>
  <c r="I101" i="4"/>
  <c r="I133" i="4"/>
  <c r="I174" i="4"/>
  <c r="I34" i="4"/>
  <c r="I66" i="4"/>
  <c r="I102" i="4"/>
  <c r="I154" i="4"/>
  <c r="I12" i="4"/>
  <c r="I28" i="4"/>
  <c r="I44" i="4"/>
  <c r="I60" i="4"/>
  <c r="I76" i="4"/>
  <c r="I92" i="4"/>
  <c r="I108" i="4"/>
  <c r="I124" i="4"/>
  <c r="I140" i="4"/>
  <c r="I156" i="4"/>
  <c r="I9" i="4"/>
  <c r="I45" i="4"/>
  <c r="I77" i="4"/>
  <c r="I113" i="4"/>
  <c r="I149" i="4"/>
  <c r="I14" i="4"/>
  <c r="I46" i="4"/>
  <c r="I78" i="4"/>
  <c r="I118" i="4"/>
  <c r="I158" i="4"/>
  <c r="I145" i="4"/>
  <c r="I134" i="4"/>
  <c r="I27" i="4"/>
  <c r="I59" i="4"/>
  <c r="I87" i="4"/>
  <c r="I107" i="4"/>
  <c r="I123" i="4"/>
  <c r="I139" i="4"/>
  <c r="I13" i="4"/>
  <c r="I41" i="4"/>
  <c r="I81" i="4"/>
  <c r="I109" i="4"/>
  <c r="I10" i="4"/>
  <c r="I42" i="4"/>
  <c r="I74" i="4"/>
  <c r="I171" i="4"/>
  <c r="I16" i="4"/>
  <c r="I48" i="4"/>
  <c r="I64" i="4"/>
  <c r="I96" i="4"/>
  <c r="I128" i="4"/>
  <c r="I21" i="4"/>
  <c r="I89" i="4"/>
  <c r="I157" i="4"/>
  <c r="I22" i="4"/>
  <c r="I126" i="4"/>
  <c r="I90" i="4"/>
  <c r="I119" i="4"/>
  <c r="V43" i="5"/>
  <c r="R42" i="8"/>
  <c r="V92" i="5"/>
  <c r="R91" i="8"/>
  <c r="V28" i="5"/>
  <c r="R27" i="8"/>
  <c r="O17" i="8"/>
  <c r="V27" i="5"/>
  <c r="R26" i="8"/>
  <c r="V22" i="5"/>
  <c r="R21" i="8"/>
  <c r="V113" i="5"/>
  <c r="R112" i="8"/>
  <c r="V74" i="5"/>
  <c r="R73" i="8"/>
  <c r="V10" i="5"/>
  <c r="R9" i="8"/>
  <c r="V14" i="5"/>
  <c r="R13" i="8"/>
  <c r="V107" i="5"/>
  <c r="R106" i="8"/>
  <c r="V52" i="5"/>
  <c r="R51" i="8"/>
  <c r="V100" i="5"/>
  <c r="R99" i="8"/>
  <c r="V11" i="5"/>
  <c r="R10" i="8"/>
  <c r="V38" i="5"/>
  <c r="R37" i="8"/>
  <c r="O22" i="8"/>
  <c r="H83" i="6"/>
  <c r="M83" i="6"/>
  <c r="K83" i="6"/>
  <c r="G104" i="6"/>
  <c r="L104" i="6"/>
  <c r="J104" i="6"/>
  <c r="H134" i="6"/>
  <c r="M134" i="6"/>
  <c r="H149" i="6"/>
  <c r="M149" i="6"/>
  <c r="H95" i="6"/>
  <c r="M95" i="6"/>
  <c r="K95" i="6"/>
  <c r="H88" i="6"/>
  <c r="M88" i="6"/>
  <c r="K88" i="6"/>
  <c r="M76" i="6"/>
  <c r="K76" i="6"/>
  <c r="H76" i="6"/>
  <c r="M69" i="6"/>
  <c r="H69" i="6"/>
  <c r="H62" i="6"/>
  <c r="K62" i="6"/>
  <c r="M62" i="6"/>
  <c r="G52" i="6"/>
  <c r="L52" i="6"/>
  <c r="J52" i="6"/>
  <c r="M27" i="6"/>
  <c r="H27" i="6"/>
  <c r="K27" i="6" s="1"/>
  <c r="K46" i="5"/>
  <c r="T46" i="5" s="1"/>
  <c r="AD46" i="5"/>
  <c r="AE46" i="5" s="1"/>
  <c r="G77" i="6"/>
  <c r="J77" i="6" s="1"/>
  <c r="L77" i="6"/>
  <c r="G60" i="6"/>
  <c r="L60" i="6"/>
  <c r="H49" i="6"/>
  <c r="M49" i="6"/>
  <c r="H46" i="6"/>
  <c r="M46" i="6"/>
  <c r="K46" i="6"/>
  <c r="H36" i="6"/>
  <c r="K36" i="6" s="1"/>
  <c r="M36" i="6"/>
  <c r="H29" i="6"/>
  <c r="M29" i="6"/>
  <c r="G71" i="6"/>
  <c r="L71" i="6"/>
  <c r="L20" i="6"/>
  <c r="G20" i="6"/>
  <c r="J20" i="6"/>
  <c r="G10" i="6"/>
  <c r="L10" i="6"/>
  <c r="J10" i="6"/>
  <c r="L24" i="6"/>
  <c r="G24" i="6"/>
  <c r="J24" i="6" s="1"/>
  <c r="G9" i="9"/>
  <c r="H9" i="9" s="1"/>
  <c r="X10" i="5" s="1"/>
  <c r="H160" i="6"/>
  <c r="M160" i="6"/>
  <c r="K160" i="6"/>
  <c r="K91" i="5"/>
  <c r="T91" i="5" s="1"/>
  <c r="AD91" i="5"/>
  <c r="AE91" i="5" s="1"/>
  <c r="G9" i="6"/>
  <c r="L9" i="6"/>
  <c r="J9" i="6"/>
  <c r="L160" i="6"/>
  <c r="T160" i="6"/>
  <c r="U160" i="6"/>
  <c r="G160" i="6"/>
  <c r="G162" i="9"/>
  <c r="H162" i="9" s="1"/>
  <c r="K138" i="5"/>
  <c r="T138" i="5" s="1"/>
  <c r="AD138" i="5"/>
  <c r="AE138" i="5" s="1"/>
  <c r="K122" i="5"/>
  <c r="T122" i="5" s="1"/>
  <c r="AD122" i="5"/>
  <c r="AE122" i="5" s="1"/>
  <c r="H172" i="6"/>
  <c r="M172" i="6"/>
  <c r="K117" i="5"/>
  <c r="T117" i="5" s="1"/>
  <c r="AD117" i="5"/>
  <c r="AE117" i="5" s="1"/>
  <c r="K116" i="5"/>
  <c r="T116" i="5" s="1"/>
  <c r="AD116" i="5"/>
  <c r="AE116" i="5" s="1"/>
  <c r="K86" i="5"/>
  <c r="T86" i="5" s="1"/>
  <c r="AD86" i="5"/>
  <c r="AE86" i="5" s="1"/>
  <c r="K84" i="5"/>
  <c r="T84" i="5" s="1"/>
  <c r="AD84" i="5"/>
  <c r="AE84" i="5" s="1"/>
  <c r="K37" i="5"/>
  <c r="T37" i="5" s="1"/>
  <c r="AD37" i="5"/>
  <c r="AE37" i="5" s="1"/>
  <c r="K44" i="5"/>
  <c r="T44" i="5" s="1"/>
  <c r="AD44" i="5"/>
  <c r="AE44" i="5" s="1"/>
  <c r="K77" i="5"/>
  <c r="T77" i="5" s="1"/>
  <c r="AD77" i="5"/>
  <c r="AE77" i="5" s="1"/>
  <c r="K59" i="5"/>
  <c r="T59" i="5" s="1"/>
  <c r="AD59" i="5"/>
  <c r="AE59" i="5" s="1"/>
  <c r="K29" i="5"/>
  <c r="T29" i="5" s="1"/>
  <c r="AD29" i="5"/>
  <c r="AE29" i="5" s="1"/>
  <c r="K7" i="5"/>
  <c r="T7" i="5" s="1"/>
  <c r="AD7" i="5"/>
  <c r="AE7" i="5" s="1"/>
  <c r="K61" i="5"/>
  <c r="T61" i="5" s="1"/>
  <c r="AD61" i="5"/>
  <c r="AE61" i="5" s="1"/>
  <c r="K34" i="5"/>
  <c r="T34" i="5" s="1"/>
  <c r="AD34" i="5"/>
  <c r="AE34" i="5" s="1"/>
  <c r="V66" i="5"/>
  <c r="R65" i="8"/>
  <c r="G64" i="9"/>
  <c r="H64" i="9" s="1"/>
  <c r="X65" i="5" s="1"/>
  <c r="G85" i="9"/>
  <c r="H85" i="9" s="1"/>
  <c r="X86" i="5" s="1"/>
  <c r="H113" i="6"/>
  <c r="M113" i="6"/>
  <c r="K113" i="6"/>
  <c r="H116" i="6"/>
  <c r="M116" i="6"/>
  <c r="G133" i="6"/>
  <c r="J133" i="6"/>
  <c r="U133" i="6"/>
  <c r="L133" i="6"/>
  <c r="T133" i="6"/>
  <c r="H148" i="6"/>
  <c r="M148" i="6"/>
  <c r="K148" i="6"/>
  <c r="H152" i="6"/>
  <c r="K152" i="6"/>
  <c r="M152" i="6"/>
  <c r="G158" i="6"/>
  <c r="L158" i="6"/>
  <c r="J158" i="6"/>
  <c r="T158" i="6"/>
  <c r="U158" i="6"/>
  <c r="G33" i="6"/>
  <c r="L33" i="6"/>
  <c r="H75" i="6"/>
  <c r="M75" i="6"/>
  <c r="K75" i="6"/>
  <c r="K85" i="6"/>
  <c r="H85" i="6"/>
  <c r="M85" i="6"/>
  <c r="H92" i="6"/>
  <c r="M92" i="6"/>
  <c r="M115" i="6"/>
  <c r="K115" i="6"/>
  <c r="H115" i="6"/>
  <c r="L124" i="6"/>
  <c r="T124" i="6"/>
  <c r="J124" i="6"/>
  <c r="G124" i="6"/>
  <c r="U124" i="6"/>
  <c r="L127" i="6"/>
  <c r="G127" i="6"/>
  <c r="J127" i="6" s="1"/>
  <c r="U127" i="6"/>
  <c r="T127" i="6"/>
  <c r="U144" i="6"/>
  <c r="T144" i="6"/>
  <c r="G144" i="6"/>
  <c r="L144" i="6"/>
  <c r="M147" i="6"/>
  <c r="H147" i="6"/>
  <c r="K147" i="6"/>
  <c r="M151" i="6"/>
  <c r="H151" i="6"/>
  <c r="K151" i="6" s="1"/>
  <c r="Q150" i="6"/>
  <c r="S150" i="6" s="1"/>
  <c r="V150" i="6" s="1"/>
  <c r="W151" i="5" s="1"/>
  <c r="I150" i="6"/>
  <c r="K128" i="6"/>
  <c r="O128" i="6" s="1"/>
  <c r="M140" i="6"/>
  <c r="R150" i="6"/>
  <c r="O150" i="6"/>
  <c r="R120" i="6"/>
  <c r="K120" i="6"/>
  <c r="O120" i="6" s="1"/>
  <c r="K131" i="6"/>
  <c r="O131" i="6" s="1"/>
  <c r="Q146" i="6"/>
  <c r="J146" i="6"/>
  <c r="N146" i="6"/>
  <c r="P146" i="6" s="1"/>
  <c r="I146" i="6"/>
  <c r="Q57" i="6"/>
  <c r="Q87" i="6"/>
  <c r="I87" i="6"/>
  <c r="R146" i="6"/>
  <c r="O146" i="6"/>
  <c r="O154" i="6"/>
  <c r="R104" i="6"/>
  <c r="O104" i="6"/>
  <c r="M65" i="6"/>
  <c r="M114" i="6"/>
  <c r="O108" i="6"/>
  <c r="H37" i="6"/>
  <c r="K37" i="6" s="1"/>
  <c r="M37" i="6"/>
  <c r="H79" i="6"/>
  <c r="M79" i="6"/>
  <c r="G95" i="9"/>
  <c r="H95" i="9" s="1"/>
  <c r="X96" i="5" s="1"/>
  <c r="M100" i="6"/>
  <c r="H100" i="6"/>
  <c r="G119" i="6"/>
  <c r="L119" i="6"/>
  <c r="J119" i="6"/>
  <c r="U119" i="6"/>
  <c r="T119" i="6"/>
  <c r="H122" i="6"/>
  <c r="M122" i="6"/>
  <c r="G128" i="6"/>
  <c r="L128" i="6"/>
  <c r="T128" i="6"/>
  <c r="J128" i="6"/>
  <c r="U128" i="6"/>
  <c r="G143" i="6"/>
  <c r="J143" i="6"/>
  <c r="U143" i="6"/>
  <c r="T143" i="6"/>
  <c r="L143" i="6"/>
  <c r="L98" i="6"/>
  <c r="J98" i="6"/>
  <c r="G98" i="6"/>
  <c r="G94" i="9"/>
  <c r="H94" i="9" s="1"/>
  <c r="X95" i="5" s="1"/>
  <c r="G91" i="6"/>
  <c r="L91" i="6"/>
  <c r="G87" i="9"/>
  <c r="H87" i="9" s="1"/>
  <c r="X88" i="5" s="1"/>
  <c r="L80" i="6"/>
  <c r="G80" i="6"/>
  <c r="J80" i="6" s="1"/>
  <c r="L76" i="6"/>
  <c r="G76" i="6"/>
  <c r="L73" i="6"/>
  <c r="G73" i="6"/>
  <c r="J73" i="6"/>
  <c r="L69" i="6"/>
  <c r="G69" i="6"/>
  <c r="J69" i="6"/>
  <c r="M54" i="6"/>
  <c r="H54" i="6"/>
  <c r="K54" i="6" s="1"/>
  <c r="L45" i="6"/>
  <c r="G45" i="6"/>
  <c r="J45" i="6"/>
  <c r="M41" i="6"/>
  <c r="H41" i="6"/>
  <c r="K41" i="6"/>
  <c r="M38" i="6"/>
  <c r="H38" i="6"/>
  <c r="K38" i="6"/>
  <c r="J36" i="6"/>
  <c r="L36" i="6"/>
  <c r="G36" i="6"/>
  <c r="G32" i="9"/>
  <c r="H32" i="9" s="1"/>
  <c r="X33" i="5" s="1"/>
  <c r="G30" i="6"/>
  <c r="L30" i="6"/>
  <c r="H22" i="6"/>
  <c r="K22" i="6"/>
  <c r="M22" i="6"/>
  <c r="G6" i="9"/>
  <c r="H6" i="9" s="1"/>
  <c r="X7" i="5" s="1"/>
  <c r="K164" i="5"/>
  <c r="T164" i="5" s="1"/>
  <c r="AD164" i="5"/>
  <c r="AE164" i="5" s="1"/>
  <c r="G96" i="6"/>
  <c r="L96" i="6"/>
  <c r="J96" i="6"/>
  <c r="G92" i="6"/>
  <c r="J92" i="6" s="1"/>
  <c r="L92" i="6"/>
  <c r="G83" i="6"/>
  <c r="L83" i="6"/>
  <c r="G72" i="9"/>
  <c r="H72" i="9" s="1"/>
  <c r="X73" i="5" s="1"/>
  <c r="G68" i="9"/>
  <c r="H68" i="9" s="1"/>
  <c r="X69" i="5" s="1"/>
  <c r="G66" i="6"/>
  <c r="L66" i="6"/>
  <c r="G55" i="6"/>
  <c r="J55" i="6"/>
  <c r="L55" i="6"/>
  <c r="G51" i="9"/>
  <c r="H51" i="9" s="1"/>
  <c r="X52" i="5" s="1"/>
  <c r="G48" i="9"/>
  <c r="H48" i="9" s="1"/>
  <c r="X49" i="5" s="1"/>
  <c r="G46" i="6"/>
  <c r="J46" i="6" s="1"/>
  <c r="L46" i="6"/>
  <c r="G42" i="6"/>
  <c r="J42" i="6"/>
  <c r="L42" i="6"/>
  <c r="G39" i="6"/>
  <c r="L39" i="6"/>
  <c r="J39" i="6"/>
  <c r="G35" i="9"/>
  <c r="H35" i="9" s="1"/>
  <c r="X36" i="5" s="1"/>
  <c r="G31" i="9"/>
  <c r="H31" i="9" s="1"/>
  <c r="X32" i="5" s="1"/>
  <c r="G16" i="6"/>
  <c r="J16" i="6"/>
  <c r="L16" i="6"/>
  <c r="H4" i="6"/>
  <c r="K4" i="6"/>
  <c r="M4" i="6"/>
  <c r="H78" i="6"/>
  <c r="M78" i="6"/>
  <c r="K78" i="6"/>
  <c r="H74" i="6"/>
  <c r="M74" i="6"/>
  <c r="H66" i="6"/>
  <c r="M66" i="6"/>
  <c r="H63" i="6"/>
  <c r="M63" i="6"/>
  <c r="K63" i="6"/>
  <c r="G61" i="6"/>
  <c r="L61" i="6"/>
  <c r="J61" i="6"/>
  <c r="G54" i="9"/>
  <c r="H54" i="9" s="1"/>
  <c r="X55" i="5" s="1"/>
  <c r="G50" i="9"/>
  <c r="H50" i="9" s="1"/>
  <c r="X51" i="5" s="1"/>
  <c r="G47" i="9"/>
  <c r="H47" i="9" s="1"/>
  <c r="X48" i="5" s="1"/>
  <c r="H43" i="6"/>
  <c r="M43" i="6"/>
  <c r="H39" i="6"/>
  <c r="M39" i="6"/>
  <c r="K39" i="6"/>
  <c r="G26" i="9"/>
  <c r="H26" i="9" s="1"/>
  <c r="X27" i="5" s="1"/>
  <c r="G19" i="6"/>
  <c r="L19" i="6"/>
  <c r="J19" i="6"/>
  <c r="J161" i="6"/>
  <c r="G161" i="6"/>
  <c r="L161" i="6"/>
  <c r="T161" i="6"/>
  <c r="U161" i="6"/>
  <c r="K165" i="5"/>
  <c r="T165" i="5" s="1"/>
  <c r="AD165" i="5"/>
  <c r="AE165" i="5" s="1"/>
  <c r="G26" i="6"/>
  <c r="L26" i="6"/>
  <c r="H16" i="6"/>
  <c r="M16" i="6"/>
  <c r="G13" i="6"/>
  <c r="J13" i="6"/>
  <c r="L13" i="6"/>
  <c r="M5" i="6"/>
  <c r="H5" i="6"/>
  <c r="K5" i="6"/>
  <c r="H173" i="6"/>
  <c r="M173" i="6"/>
  <c r="K173" i="6"/>
  <c r="H165" i="6"/>
  <c r="M165" i="6"/>
  <c r="K168" i="5"/>
  <c r="T168" i="5" s="1"/>
  <c r="AD168" i="5"/>
  <c r="AE168" i="5" s="1"/>
  <c r="K161" i="5"/>
  <c r="T161" i="5" s="1"/>
  <c r="AD161" i="5"/>
  <c r="AE161" i="5" s="1"/>
  <c r="K145" i="5"/>
  <c r="T145" i="5" s="1"/>
  <c r="AD145" i="5"/>
  <c r="AE145" i="5" s="1"/>
  <c r="H26" i="6"/>
  <c r="M26" i="6"/>
  <c r="G23" i="9"/>
  <c r="H23" i="9" s="1"/>
  <c r="X24" i="5" s="1"/>
  <c r="G20" i="9"/>
  <c r="H20" i="9" s="1"/>
  <c r="X21" i="5" s="1"/>
  <c r="G15" i="6"/>
  <c r="L15" i="6"/>
  <c r="J15" i="6"/>
  <c r="H11" i="6"/>
  <c r="M11" i="6"/>
  <c r="G165" i="9"/>
  <c r="H165" i="9" s="1"/>
  <c r="L173" i="6"/>
  <c r="T173" i="6"/>
  <c r="U173" i="6"/>
  <c r="G173" i="6"/>
  <c r="L165" i="6"/>
  <c r="T165" i="6"/>
  <c r="U165" i="6"/>
  <c r="J165" i="6"/>
  <c r="G165" i="6"/>
  <c r="G161" i="9"/>
  <c r="H161" i="9" s="1"/>
  <c r="AD174" i="5"/>
  <c r="AE174" i="5" s="1"/>
  <c r="K174" i="5"/>
  <c r="T174" i="5" s="1"/>
  <c r="K167" i="5"/>
  <c r="T167" i="5" s="1"/>
  <c r="AD167" i="5"/>
  <c r="AE167" i="5" s="1"/>
  <c r="K146" i="5"/>
  <c r="T146" i="5" s="1"/>
  <c r="AD146" i="5"/>
  <c r="AE146" i="5" s="1"/>
  <c r="K94" i="5"/>
  <c r="T94" i="5" s="1"/>
  <c r="AD94" i="5"/>
  <c r="AE94" i="5" s="1"/>
  <c r="G8" i="6"/>
  <c r="J8" i="6"/>
  <c r="L8" i="6"/>
  <c r="G5" i="9"/>
  <c r="H5" i="9" s="1"/>
  <c r="X6" i="5" s="1"/>
  <c r="H163" i="6"/>
  <c r="M163" i="6"/>
  <c r="H170" i="6"/>
  <c r="M170" i="6"/>
  <c r="K3" i="5"/>
  <c r="T3" i="5" s="1"/>
  <c r="AD3" i="5"/>
  <c r="AE3" i="5" s="1"/>
  <c r="K96" i="5"/>
  <c r="T96" i="5" s="1"/>
  <c r="AD96" i="5"/>
  <c r="AE96" i="5" s="1"/>
  <c r="K137" i="5"/>
  <c r="T137" i="5" s="1"/>
  <c r="AD137" i="5"/>
  <c r="AE137" i="5" s="1"/>
  <c r="K121" i="5"/>
  <c r="T121" i="5" s="1"/>
  <c r="AD121" i="5"/>
  <c r="AE121" i="5" s="1"/>
  <c r="K64" i="5"/>
  <c r="T64" i="5" s="1"/>
  <c r="AD64" i="5"/>
  <c r="AE64" i="5" s="1"/>
  <c r="K152" i="5"/>
  <c r="T152" i="5" s="1"/>
  <c r="AD152" i="5"/>
  <c r="AE152" i="5" s="1"/>
  <c r="K136" i="5"/>
  <c r="T136" i="5" s="1"/>
  <c r="AD136" i="5"/>
  <c r="AE136" i="5" s="1"/>
  <c r="K120" i="5"/>
  <c r="T120" i="5" s="1"/>
  <c r="AD120" i="5"/>
  <c r="AE120" i="5" s="1"/>
  <c r="K103" i="5"/>
  <c r="T103" i="5" s="1"/>
  <c r="AD103" i="5"/>
  <c r="AE103" i="5" s="1"/>
  <c r="K95" i="5"/>
  <c r="T95" i="5" s="1"/>
  <c r="AD95" i="5"/>
  <c r="AE95" i="5" s="1"/>
  <c r="K147" i="5"/>
  <c r="T147" i="5" s="1"/>
  <c r="AD147" i="5"/>
  <c r="AE147" i="5" s="1"/>
  <c r="K131" i="5"/>
  <c r="T131" i="5" s="1"/>
  <c r="AD131" i="5"/>
  <c r="AE131" i="5" s="1"/>
  <c r="K115" i="5"/>
  <c r="T115" i="5" s="1"/>
  <c r="AD115" i="5"/>
  <c r="AE115" i="5" s="1"/>
  <c r="K60" i="5"/>
  <c r="T60" i="5" s="1"/>
  <c r="AD60" i="5"/>
  <c r="AE60" i="5" s="1"/>
  <c r="K83" i="5"/>
  <c r="T83" i="5" s="1"/>
  <c r="AD83" i="5"/>
  <c r="AE83" i="5" s="1"/>
  <c r="K66" i="5"/>
  <c r="T66" i="5" s="1"/>
  <c r="AD66" i="5"/>
  <c r="AE66" i="5" s="1"/>
  <c r="K9" i="5"/>
  <c r="T9" i="5" s="1"/>
  <c r="AD9" i="5"/>
  <c r="AE9" i="5" s="1"/>
  <c r="K80" i="5"/>
  <c r="T80" i="5" s="1"/>
  <c r="AD80" i="5"/>
  <c r="AE80" i="5" s="1"/>
  <c r="K62" i="5"/>
  <c r="T62" i="5" s="1"/>
  <c r="AD62" i="5"/>
  <c r="AE62" i="5" s="1"/>
  <c r="K31" i="5"/>
  <c r="T31" i="5" s="1"/>
  <c r="AD31" i="5"/>
  <c r="AE31" i="5" s="1"/>
  <c r="K70" i="5"/>
  <c r="T70" i="5" s="1"/>
  <c r="AD70" i="5"/>
  <c r="AE70" i="5" s="1"/>
  <c r="K51" i="5"/>
  <c r="T51" i="5" s="1"/>
  <c r="AD51" i="5"/>
  <c r="AE51" i="5" s="1"/>
  <c r="K97" i="5"/>
  <c r="T97" i="5" s="1"/>
  <c r="AD97" i="5"/>
  <c r="AE97" i="5" s="1"/>
  <c r="K81" i="5"/>
  <c r="T81" i="5" s="1"/>
  <c r="AD81" i="5"/>
  <c r="AE81" i="5" s="1"/>
  <c r="K40" i="5"/>
  <c r="T40" i="5" s="1"/>
  <c r="AD40" i="5"/>
  <c r="AE40" i="5" s="1"/>
  <c r="K25" i="5"/>
  <c r="T25" i="5" s="1"/>
  <c r="AD25" i="5"/>
  <c r="AE25" i="5" s="1"/>
  <c r="K5" i="5"/>
  <c r="T5" i="5" s="1"/>
  <c r="AD5" i="5"/>
  <c r="AE5" i="5" s="1"/>
  <c r="K32" i="5"/>
  <c r="T32" i="5" s="1"/>
  <c r="AD32" i="5"/>
  <c r="AE32" i="5" s="1"/>
  <c r="K4" i="5"/>
  <c r="T4" i="5" s="1"/>
  <c r="AD4" i="5"/>
  <c r="AE4" i="5" s="1"/>
  <c r="K65" i="5"/>
  <c r="T65" i="5" s="1"/>
  <c r="AD65" i="5"/>
  <c r="AE65" i="5" s="1"/>
  <c r="K49" i="5"/>
  <c r="T49" i="5" s="1"/>
  <c r="AD49" i="5"/>
  <c r="AE49" i="5" s="1"/>
  <c r="K38" i="5"/>
  <c r="T38" i="5" s="1"/>
  <c r="AD38" i="5"/>
  <c r="AE38" i="5" s="1"/>
  <c r="K20" i="5"/>
  <c r="T20" i="5" s="1"/>
  <c r="AD20" i="5"/>
  <c r="AE20" i="5" s="1"/>
  <c r="K12" i="5"/>
  <c r="T12" i="5" s="1"/>
  <c r="AD12" i="5"/>
  <c r="AE12" i="5" s="1"/>
  <c r="K22" i="5"/>
  <c r="T22" i="5" s="1"/>
  <c r="AD22" i="5"/>
  <c r="AE22" i="5" s="1"/>
  <c r="K6" i="5"/>
  <c r="T6" i="5" s="1"/>
  <c r="AD6" i="5"/>
  <c r="AE6" i="5" s="1"/>
  <c r="G28" i="6"/>
  <c r="L28" i="6"/>
  <c r="J28" i="6"/>
  <c r="G55" i="9"/>
  <c r="H55" i="9" s="1"/>
  <c r="X56" i="5" s="1"/>
  <c r="G72" i="6"/>
  <c r="L72" i="6"/>
  <c r="J72" i="6"/>
  <c r="G93" i="9"/>
  <c r="H93" i="9" s="1"/>
  <c r="X94" i="5" s="1"/>
  <c r="L100" i="6"/>
  <c r="G100" i="6"/>
  <c r="J100" i="6"/>
  <c r="H103" i="6"/>
  <c r="M103" i="6"/>
  <c r="G107" i="6"/>
  <c r="L107" i="6"/>
  <c r="H110" i="6"/>
  <c r="K110" i="6"/>
  <c r="M110" i="6"/>
  <c r="G114" i="9"/>
  <c r="H114" i="9" s="1"/>
  <c r="X115" i="5" s="1"/>
  <c r="G120" i="9"/>
  <c r="H120" i="9" s="1"/>
  <c r="X121" i="5" s="1"/>
  <c r="G125" i="6"/>
  <c r="L125" i="6"/>
  <c r="T125" i="6"/>
  <c r="U125" i="6"/>
  <c r="H129" i="6"/>
  <c r="M129" i="6"/>
  <c r="H133" i="6"/>
  <c r="M133" i="6"/>
  <c r="G139" i="6"/>
  <c r="L139" i="6"/>
  <c r="J139" i="6"/>
  <c r="U139" i="6"/>
  <c r="T139" i="6"/>
  <c r="G142" i="6"/>
  <c r="J142" i="6"/>
  <c r="U142" i="6"/>
  <c r="T142" i="6"/>
  <c r="L142" i="6"/>
  <c r="H158" i="6"/>
  <c r="K158" i="6"/>
  <c r="M158" i="6"/>
  <c r="K172" i="5"/>
  <c r="T172" i="5" s="1"/>
  <c r="AD172" i="5"/>
  <c r="AE172" i="5" s="1"/>
  <c r="O50" i="8"/>
  <c r="H44" i="6"/>
  <c r="M44" i="6"/>
  <c r="K44" i="6"/>
  <c r="L88" i="6"/>
  <c r="G88" i="6"/>
  <c r="J88" i="6"/>
  <c r="L97" i="6"/>
  <c r="G97" i="6"/>
  <c r="J97" i="6" s="1"/>
  <c r="L103" i="6"/>
  <c r="G103" i="6"/>
  <c r="M112" i="6"/>
  <c r="H112" i="6"/>
  <c r="K112" i="6"/>
  <c r="T121" i="6"/>
  <c r="L121" i="6"/>
  <c r="U121" i="6"/>
  <c r="G121" i="6"/>
  <c r="M124" i="6"/>
  <c r="H124" i="6"/>
  <c r="K124" i="6"/>
  <c r="L132" i="6"/>
  <c r="T132" i="6"/>
  <c r="G132" i="6"/>
  <c r="U132" i="6"/>
  <c r="G136" i="6"/>
  <c r="J136" i="6"/>
  <c r="U136" i="6"/>
  <c r="T136" i="6"/>
  <c r="L136" i="6"/>
  <c r="L141" i="6"/>
  <c r="J141" i="6"/>
  <c r="U141" i="6"/>
  <c r="G141" i="6"/>
  <c r="T141" i="6"/>
  <c r="M157" i="6"/>
  <c r="H157" i="6"/>
  <c r="K157" i="6" s="1"/>
  <c r="Q126" i="6"/>
  <c r="N126" i="6"/>
  <c r="I126" i="6"/>
  <c r="J126" i="6"/>
  <c r="M135" i="6"/>
  <c r="Q177" i="5"/>
  <c r="T157" i="6"/>
  <c r="Q102" i="6"/>
  <c r="N102" i="6"/>
  <c r="I102" i="6"/>
  <c r="Q120" i="6"/>
  <c r="J120" i="6"/>
  <c r="N120" i="6"/>
  <c r="I120" i="6"/>
  <c r="M126" i="6"/>
  <c r="R140" i="6"/>
  <c r="K140" i="6"/>
  <c r="O140" i="6"/>
  <c r="G3" i="9"/>
  <c r="H3" i="9" s="1"/>
  <c r="X4" i="5" s="1"/>
  <c r="R102" i="6"/>
  <c r="O102" i="6"/>
  <c r="M143" i="6"/>
  <c r="R90" i="6"/>
  <c r="O90" i="6"/>
  <c r="R47" i="6"/>
  <c r="O47" i="6"/>
  <c r="M89" i="6"/>
  <c r="M50" i="6"/>
  <c r="R65" i="6"/>
  <c r="O65" i="6"/>
  <c r="R114" i="6"/>
  <c r="M33" i="6"/>
  <c r="V76" i="5"/>
  <c r="R75" i="8"/>
  <c r="H107" i="6"/>
  <c r="M107" i="6"/>
  <c r="H153" i="6"/>
  <c r="M153" i="6"/>
  <c r="K153" i="6"/>
  <c r="M91" i="6"/>
  <c r="H91" i="6"/>
  <c r="M73" i="6"/>
  <c r="H73" i="6"/>
  <c r="K73" i="6" s="1"/>
  <c r="L67" i="6"/>
  <c r="G67" i="6"/>
  <c r="M45" i="6"/>
  <c r="K45" i="6"/>
  <c r="H45" i="6"/>
  <c r="K166" i="5"/>
  <c r="T166" i="5" s="1"/>
  <c r="AD166" i="5"/>
  <c r="AE166" i="5" s="1"/>
  <c r="U166" i="5"/>
  <c r="G89" i="6"/>
  <c r="L89" i="6"/>
  <c r="H52" i="6"/>
  <c r="M52" i="6"/>
  <c r="G40" i="6"/>
  <c r="L40" i="6"/>
  <c r="J40" i="6"/>
  <c r="H61" i="6"/>
  <c r="M61" i="6"/>
  <c r="K61" i="6"/>
  <c r="H51" i="6"/>
  <c r="M51" i="6"/>
  <c r="H40" i="6"/>
  <c r="M40" i="6"/>
  <c r="G2" i="6"/>
  <c r="E176" i="6"/>
  <c r="J2" i="6"/>
  <c r="L2" i="6"/>
  <c r="K149" i="5"/>
  <c r="T149" i="5" s="1"/>
  <c r="AD149" i="5"/>
  <c r="AE149" i="5" s="1"/>
  <c r="H21" i="6"/>
  <c r="M21" i="6"/>
  <c r="G6" i="6"/>
  <c r="L6" i="6"/>
  <c r="L167" i="6"/>
  <c r="T167" i="6"/>
  <c r="U167" i="6"/>
  <c r="J167" i="6"/>
  <c r="G167" i="6"/>
  <c r="K130" i="5"/>
  <c r="T130" i="5" s="1"/>
  <c r="AD130" i="5"/>
  <c r="AE130" i="5" s="1"/>
  <c r="K100" i="5"/>
  <c r="T100" i="5" s="1"/>
  <c r="AD100" i="5"/>
  <c r="AE100" i="5" s="1"/>
  <c r="O3" i="5"/>
  <c r="O177" i="5" s="1"/>
  <c r="F177" i="5"/>
  <c r="K50" i="5"/>
  <c r="T50" i="5" s="1"/>
  <c r="AD50" i="5"/>
  <c r="AE50" i="5" s="1"/>
  <c r="K148" i="5"/>
  <c r="T148" i="5" s="1"/>
  <c r="AD148" i="5"/>
  <c r="AE148" i="5" s="1"/>
  <c r="K132" i="5"/>
  <c r="T132" i="5" s="1"/>
  <c r="AD132" i="5"/>
  <c r="AE132" i="5" s="1"/>
  <c r="K143" i="5"/>
  <c r="T143" i="5" s="1"/>
  <c r="AD143" i="5"/>
  <c r="AE143" i="5" s="1"/>
  <c r="K127" i="5"/>
  <c r="T127" i="5" s="1"/>
  <c r="AD127" i="5"/>
  <c r="AE127" i="5" s="1"/>
  <c r="K111" i="5"/>
  <c r="T111" i="5" s="1"/>
  <c r="AD111" i="5"/>
  <c r="AE111" i="5" s="1"/>
  <c r="K39" i="5"/>
  <c r="T39" i="5" s="1"/>
  <c r="AD39" i="5"/>
  <c r="AE39" i="5" s="1"/>
  <c r="K15" i="5"/>
  <c r="T15" i="5" s="1"/>
  <c r="AD15" i="5"/>
  <c r="AE15" i="5" s="1"/>
  <c r="K45" i="5"/>
  <c r="T45" i="5" s="1"/>
  <c r="AD45" i="5"/>
  <c r="AE45" i="5" s="1"/>
  <c r="K18" i="5"/>
  <c r="T18" i="5" s="1"/>
  <c r="AD18" i="5"/>
  <c r="AE18" i="5" s="1"/>
  <c r="G110" i="6"/>
  <c r="L110" i="6"/>
  <c r="J110" i="6"/>
  <c r="H144" i="6"/>
  <c r="M144" i="6"/>
  <c r="U122" i="5"/>
  <c r="U138" i="5"/>
  <c r="U127" i="5"/>
  <c r="U143" i="5"/>
  <c r="V48" i="5"/>
  <c r="R47" i="8"/>
  <c r="G82" i="6"/>
  <c r="L82" i="6"/>
  <c r="H96" i="6"/>
  <c r="M96" i="6"/>
  <c r="K96" i="6"/>
  <c r="H101" i="6"/>
  <c r="M101" i="6"/>
  <c r="K101" i="6"/>
  <c r="H105" i="6"/>
  <c r="M105" i="6"/>
  <c r="G117" i="6"/>
  <c r="L117" i="6"/>
  <c r="T117" i="6"/>
  <c r="U117" i="6"/>
  <c r="H119" i="6"/>
  <c r="K119" i="6" s="1"/>
  <c r="M119" i="6"/>
  <c r="G124" i="9"/>
  <c r="H124" i="9" s="1"/>
  <c r="X125" i="5" s="1"/>
  <c r="G137" i="6"/>
  <c r="L137" i="6"/>
  <c r="T137" i="6"/>
  <c r="U137" i="6"/>
  <c r="G140" i="6"/>
  <c r="J140" i="6" s="1"/>
  <c r="T140" i="6"/>
  <c r="L140" i="6"/>
  <c r="U140" i="6"/>
  <c r="G156" i="6"/>
  <c r="L156" i="6"/>
  <c r="J156" i="6"/>
  <c r="T156" i="6"/>
  <c r="U156" i="6"/>
  <c r="G159" i="6"/>
  <c r="L159" i="6"/>
  <c r="J159" i="6"/>
  <c r="T159" i="6"/>
  <c r="U159" i="6"/>
  <c r="G174" i="9"/>
  <c r="H174" i="9" s="1"/>
  <c r="X175" i="5" s="1"/>
  <c r="X163" i="5"/>
  <c r="H93" i="6"/>
  <c r="M93" i="6"/>
  <c r="K93" i="6"/>
  <c r="H84" i="6"/>
  <c r="K84" i="6" s="1"/>
  <c r="M84" i="6"/>
  <c r="H64" i="6"/>
  <c r="M64" i="6"/>
  <c r="G58" i="6"/>
  <c r="L58" i="6"/>
  <c r="L54" i="6"/>
  <c r="G54" i="6"/>
  <c r="J54" i="6"/>
  <c r="G49" i="6"/>
  <c r="L49" i="6"/>
  <c r="J49" i="6"/>
  <c r="L41" i="6"/>
  <c r="G41" i="6"/>
  <c r="J41" i="6" s="1"/>
  <c r="L38" i="6"/>
  <c r="G38" i="6"/>
  <c r="G32" i="6"/>
  <c r="J32" i="6"/>
  <c r="L32" i="6"/>
  <c r="J172" i="6"/>
  <c r="G172" i="6"/>
  <c r="L172" i="6"/>
  <c r="T172" i="6"/>
  <c r="U172" i="6"/>
  <c r="G99" i="6"/>
  <c r="L99" i="6"/>
  <c r="H86" i="6"/>
  <c r="M86" i="6"/>
  <c r="K86" i="6"/>
  <c r="G79" i="9"/>
  <c r="H79" i="9" s="1"/>
  <c r="X80" i="5" s="1"/>
  <c r="G75" i="9"/>
  <c r="H75" i="9" s="1"/>
  <c r="X76" i="5" s="1"/>
  <c r="H70" i="6"/>
  <c r="M70" i="6"/>
  <c r="K70" i="6"/>
  <c r="G68" i="6"/>
  <c r="J68" i="6" s="1"/>
  <c r="L68" i="6"/>
  <c r="H58" i="6"/>
  <c r="M58" i="6"/>
  <c r="G51" i="6"/>
  <c r="J51" i="6"/>
  <c r="L51" i="6"/>
  <c r="G48" i="6"/>
  <c r="L48" i="6"/>
  <c r="J48" i="6"/>
  <c r="H34" i="6"/>
  <c r="M34" i="6"/>
  <c r="K34" i="6"/>
  <c r="H30" i="6"/>
  <c r="M30" i="6"/>
  <c r="H23" i="6"/>
  <c r="M23" i="6"/>
  <c r="G14" i="6"/>
  <c r="L14" i="6"/>
  <c r="J14" i="6"/>
  <c r="G3" i="6"/>
  <c r="J3" i="6" s="1"/>
  <c r="L3" i="6"/>
  <c r="G78" i="6"/>
  <c r="L78" i="6"/>
  <c r="G73" i="9"/>
  <c r="H73" i="9" s="1"/>
  <c r="X74" i="5" s="1"/>
  <c r="G69" i="9"/>
  <c r="H69" i="9" s="1"/>
  <c r="X70" i="5" s="1"/>
  <c r="G65" i="9"/>
  <c r="H65" i="9" s="1"/>
  <c r="X66" i="5" s="1"/>
  <c r="G63" i="6"/>
  <c r="L63" i="6"/>
  <c r="J63" i="6"/>
  <c r="H56" i="6"/>
  <c r="M56" i="6"/>
  <c r="K56" i="6"/>
  <c r="G53" i="6"/>
  <c r="J53" i="6" s="1"/>
  <c r="L53" i="6"/>
  <c r="G50" i="6"/>
  <c r="J50" i="6"/>
  <c r="L50" i="6"/>
  <c r="G47" i="6"/>
  <c r="J47" i="6"/>
  <c r="L47" i="6"/>
  <c r="G43" i="6"/>
  <c r="L43" i="6"/>
  <c r="J43" i="6"/>
  <c r="G38" i="9"/>
  <c r="H38" i="9" s="1"/>
  <c r="X39" i="5" s="1"/>
  <c r="H25" i="6"/>
  <c r="M25" i="6"/>
  <c r="K25" i="6"/>
  <c r="G17" i="9"/>
  <c r="H17" i="9" s="1"/>
  <c r="X18" i="5" s="1"/>
  <c r="J168" i="6"/>
  <c r="G168" i="6"/>
  <c r="L168" i="6"/>
  <c r="T168" i="6"/>
  <c r="U168" i="6"/>
  <c r="K163" i="5"/>
  <c r="T163" i="5" s="1"/>
  <c r="AD163" i="5"/>
  <c r="AE163" i="5" s="1"/>
  <c r="G29" i="6"/>
  <c r="J29" i="6" s="1"/>
  <c r="L29" i="6"/>
  <c r="G21" i="6"/>
  <c r="J21" i="6"/>
  <c r="L21" i="6"/>
  <c r="G15" i="9"/>
  <c r="H15" i="9" s="1"/>
  <c r="X16" i="5" s="1"/>
  <c r="H3" i="6"/>
  <c r="K3" i="6"/>
  <c r="M3" i="6"/>
  <c r="H164" i="6"/>
  <c r="M164" i="6"/>
  <c r="K164" i="6"/>
  <c r="H171" i="6"/>
  <c r="M171" i="6"/>
  <c r="K171" i="6"/>
  <c r="K171" i="5"/>
  <c r="T171" i="5" s="1"/>
  <c r="AD171" i="5"/>
  <c r="AE171" i="5" s="1"/>
  <c r="K157" i="5"/>
  <c r="T157" i="5" s="1"/>
  <c r="AD157" i="5"/>
  <c r="AE157" i="5" s="1"/>
  <c r="K104" i="5"/>
  <c r="T104" i="5" s="1"/>
  <c r="AD104" i="5"/>
  <c r="AE104" i="5" s="1"/>
  <c r="G25" i="9"/>
  <c r="H25" i="9" s="1"/>
  <c r="X26" i="5" s="1"/>
  <c r="G23" i="6"/>
  <c r="L23" i="6"/>
  <c r="H18" i="6"/>
  <c r="M18" i="6"/>
  <c r="K18" i="6"/>
  <c r="G11" i="6"/>
  <c r="L11" i="6"/>
  <c r="J11" i="6"/>
  <c r="G7" i="6"/>
  <c r="L7" i="6"/>
  <c r="L5" i="6"/>
  <c r="G5" i="6"/>
  <c r="L164" i="6"/>
  <c r="T164" i="6"/>
  <c r="U164" i="6"/>
  <c r="J164" i="6"/>
  <c r="G164" i="6"/>
  <c r="L171" i="6"/>
  <c r="T171" i="6"/>
  <c r="U171" i="6"/>
  <c r="J171" i="6"/>
  <c r="G171" i="6"/>
  <c r="G164" i="9"/>
  <c r="H164" i="9" s="1"/>
  <c r="G160" i="9"/>
  <c r="H160" i="9" s="1"/>
  <c r="K158" i="5"/>
  <c r="T158" i="5" s="1"/>
  <c r="AD158" i="5"/>
  <c r="AE158" i="5" s="1"/>
  <c r="K142" i="5"/>
  <c r="T142" i="5" s="1"/>
  <c r="AD142" i="5"/>
  <c r="AE142" i="5" s="1"/>
  <c r="K134" i="5"/>
  <c r="T134" i="5" s="1"/>
  <c r="AD134" i="5"/>
  <c r="AE134" i="5" s="1"/>
  <c r="K126" i="5"/>
  <c r="T126" i="5" s="1"/>
  <c r="AD126" i="5"/>
  <c r="AE126" i="5" s="1"/>
  <c r="K118" i="5"/>
  <c r="T118" i="5" s="1"/>
  <c r="AD118" i="5"/>
  <c r="AE118" i="5" s="1"/>
  <c r="K110" i="5"/>
  <c r="T110" i="5" s="1"/>
  <c r="AD110" i="5"/>
  <c r="AE110" i="5" s="1"/>
  <c r="K54" i="5"/>
  <c r="T54" i="5" s="1"/>
  <c r="AD54" i="5"/>
  <c r="AE54" i="5" s="1"/>
  <c r="G10" i="9"/>
  <c r="H10" i="9" s="1"/>
  <c r="X11" i="5" s="1"/>
  <c r="G4" i="9"/>
  <c r="H4" i="9" s="1"/>
  <c r="X5" i="5" s="1"/>
  <c r="K161" i="6"/>
  <c r="H161" i="6"/>
  <c r="M161" i="6"/>
  <c r="K168" i="6"/>
  <c r="H168" i="6"/>
  <c r="M168" i="6"/>
  <c r="K170" i="5"/>
  <c r="T170" i="5" s="1"/>
  <c r="AD170" i="5"/>
  <c r="AE170" i="5" s="1"/>
  <c r="K141" i="5"/>
  <c r="T141" i="5" s="1"/>
  <c r="AD141" i="5"/>
  <c r="AE141" i="5" s="1"/>
  <c r="K125" i="5"/>
  <c r="T125" i="5" s="1"/>
  <c r="AD125" i="5"/>
  <c r="AE125" i="5" s="1"/>
  <c r="K109" i="5"/>
  <c r="T109" i="5" s="1"/>
  <c r="AD109" i="5"/>
  <c r="AE109" i="5" s="1"/>
  <c r="K92" i="5"/>
  <c r="T92" i="5" s="1"/>
  <c r="AD92" i="5"/>
  <c r="AE92" i="5" s="1"/>
  <c r="K156" i="5"/>
  <c r="T156" i="5" s="1"/>
  <c r="AD156" i="5"/>
  <c r="AE156" i="5" s="1"/>
  <c r="K140" i="5"/>
  <c r="T140" i="5" s="1"/>
  <c r="AD140" i="5"/>
  <c r="AE140" i="5" s="1"/>
  <c r="K124" i="5"/>
  <c r="T124" i="5" s="1"/>
  <c r="AD124" i="5"/>
  <c r="AE124" i="5" s="1"/>
  <c r="K108" i="5"/>
  <c r="T108" i="5" s="1"/>
  <c r="AD108" i="5"/>
  <c r="AE108" i="5" s="1"/>
  <c r="K33" i="5"/>
  <c r="T33" i="5" s="1"/>
  <c r="AD33" i="5"/>
  <c r="AE33" i="5" s="1"/>
  <c r="K151" i="5"/>
  <c r="T151" i="5" s="1"/>
  <c r="Y151" i="5" s="1"/>
  <c r="AD151" i="5"/>
  <c r="AE151" i="5" s="1"/>
  <c r="K135" i="5"/>
  <c r="T135" i="5" s="1"/>
  <c r="AD135" i="5"/>
  <c r="AE135" i="5" s="1"/>
  <c r="K119" i="5"/>
  <c r="T119" i="5" s="1"/>
  <c r="AD119" i="5"/>
  <c r="AE119" i="5" s="1"/>
  <c r="K87" i="5"/>
  <c r="T87" i="5" s="1"/>
  <c r="AD87" i="5"/>
  <c r="AE87" i="5" s="1"/>
  <c r="K79" i="5"/>
  <c r="T79" i="5" s="1"/>
  <c r="AD79" i="5"/>
  <c r="AE79" i="5" s="1"/>
  <c r="K36" i="5"/>
  <c r="T36" i="5" s="1"/>
  <c r="AD36" i="5"/>
  <c r="AE36" i="5" s="1"/>
  <c r="K76" i="5"/>
  <c r="T76" i="5" s="1"/>
  <c r="AD76" i="5"/>
  <c r="AE76" i="5" s="1"/>
  <c r="K28" i="5"/>
  <c r="T28" i="5" s="1"/>
  <c r="AD28" i="5"/>
  <c r="AE28" i="5" s="1"/>
  <c r="K74" i="5"/>
  <c r="T74" i="5" s="1"/>
  <c r="AD74" i="5"/>
  <c r="AE74" i="5" s="1"/>
  <c r="K68" i="5"/>
  <c r="T68" i="5" s="1"/>
  <c r="AD68" i="5"/>
  <c r="AE68" i="5" s="1"/>
  <c r="K56" i="5"/>
  <c r="T56" i="5" s="1"/>
  <c r="AD56" i="5"/>
  <c r="AE56" i="5" s="1"/>
  <c r="K48" i="5"/>
  <c r="T48" i="5" s="1"/>
  <c r="AD48" i="5"/>
  <c r="AE48" i="5" s="1"/>
  <c r="K101" i="5"/>
  <c r="T101" i="5" s="1"/>
  <c r="AD101" i="5"/>
  <c r="AE101" i="5" s="1"/>
  <c r="K85" i="5"/>
  <c r="T85" i="5" s="1"/>
  <c r="AD85" i="5"/>
  <c r="AE85" i="5" s="1"/>
  <c r="K35" i="5"/>
  <c r="T35" i="5" s="1"/>
  <c r="AD35" i="5"/>
  <c r="AE35" i="5" s="1"/>
  <c r="K63" i="5"/>
  <c r="T63" i="5" s="1"/>
  <c r="AD63" i="5"/>
  <c r="AE63" i="5" s="1"/>
  <c r="K19" i="5"/>
  <c r="T19" i="5" s="1"/>
  <c r="AD19" i="5"/>
  <c r="AE19" i="5" s="1"/>
  <c r="K13" i="5"/>
  <c r="T13" i="5" s="1"/>
  <c r="AD13" i="5"/>
  <c r="AE13" i="5" s="1"/>
  <c r="K27" i="5"/>
  <c r="T27" i="5" s="1"/>
  <c r="AD27" i="5"/>
  <c r="AE27" i="5" s="1"/>
  <c r="K11" i="5"/>
  <c r="T11" i="5" s="1"/>
  <c r="AD11" i="5"/>
  <c r="AE11" i="5" s="1"/>
  <c r="K53" i="5"/>
  <c r="T53" i="5" s="1"/>
  <c r="AD53" i="5"/>
  <c r="AE53" i="5" s="1"/>
  <c r="K42" i="5"/>
  <c r="T42" i="5" s="1"/>
  <c r="AD42" i="5"/>
  <c r="AE42" i="5" s="1"/>
  <c r="K26" i="5"/>
  <c r="T26" i="5" s="1"/>
  <c r="AD26" i="5"/>
  <c r="AE26" i="5" s="1"/>
  <c r="K10" i="5"/>
  <c r="T10" i="5" s="1"/>
  <c r="AD10" i="5"/>
  <c r="AE10" i="5" s="1"/>
  <c r="G31" i="6"/>
  <c r="L31" i="6"/>
  <c r="O58" i="8"/>
  <c r="G44" i="6"/>
  <c r="L44" i="6"/>
  <c r="G62" i="9"/>
  <c r="H62" i="9" s="1"/>
  <c r="X63" i="5" s="1"/>
  <c r="G75" i="6"/>
  <c r="J75" i="6" s="1"/>
  <c r="L75" i="6"/>
  <c r="H82" i="6"/>
  <c r="M82" i="6"/>
  <c r="H87" i="6"/>
  <c r="M87" i="6"/>
  <c r="K87" i="6"/>
  <c r="H94" i="6"/>
  <c r="M94" i="6"/>
  <c r="K94" i="6"/>
  <c r="H121" i="6"/>
  <c r="M121" i="6"/>
  <c r="G131" i="9"/>
  <c r="H131" i="9" s="1"/>
  <c r="X132" i="5" s="1"/>
  <c r="G135" i="9"/>
  <c r="H135" i="9" s="1"/>
  <c r="X136" i="5" s="1"/>
  <c r="H139" i="6"/>
  <c r="K139" i="6" s="1"/>
  <c r="M139" i="6"/>
  <c r="H142" i="6"/>
  <c r="M142" i="6"/>
  <c r="H155" i="6"/>
  <c r="M155" i="6"/>
  <c r="O40" i="8"/>
  <c r="H53" i="6"/>
  <c r="M53" i="6"/>
  <c r="G84" i="6"/>
  <c r="L84" i="6"/>
  <c r="J84" i="6"/>
  <c r="L109" i="6"/>
  <c r="J109" i="6"/>
  <c r="G109" i="6"/>
  <c r="K118" i="6"/>
  <c r="M118" i="6"/>
  <c r="H118" i="6"/>
  <c r="U118" i="6"/>
  <c r="T118" i="6"/>
  <c r="L129" i="6"/>
  <c r="T129" i="6"/>
  <c r="G129" i="6"/>
  <c r="J129" i="6"/>
  <c r="U129" i="6"/>
  <c r="M132" i="6"/>
  <c r="H132" i="6"/>
  <c r="K132" i="6" s="1"/>
  <c r="M141" i="6"/>
  <c r="H141" i="6"/>
  <c r="R135" i="6"/>
  <c r="O135" i="6"/>
  <c r="V62" i="5"/>
  <c r="R61" i="8"/>
  <c r="J57" i="6"/>
  <c r="N57" i="6" s="1"/>
  <c r="R126" i="6"/>
  <c r="K126" i="6"/>
  <c r="O126" i="6" s="1"/>
  <c r="Q131" i="6"/>
  <c r="N131" i="6"/>
  <c r="I131" i="6"/>
  <c r="Q123" i="6"/>
  <c r="S123" i="6" s="1"/>
  <c r="V123" i="6" s="1"/>
  <c r="W124" i="5" s="1"/>
  <c r="J123" i="6"/>
  <c r="N123" i="6" s="1"/>
  <c r="P123" i="6" s="1"/>
  <c r="I123" i="6"/>
  <c r="R143" i="6"/>
  <c r="K143" i="6"/>
  <c r="O143" i="6" s="1"/>
  <c r="Q37" i="6"/>
  <c r="N37" i="6"/>
  <c r="M123" i="6"/>
  <c r="K35" i="6"/>
  <c r="O35" i="6" s="1"/>
  <c r="M8" i="6"/>
  <c r="R89" i="6"/>
  <c r="O89" i="6"/>
  <c r="M15" i="6"/>
  <c r="R50" i="6"/>
  <c r="O50" i="6"/>
  <c r="K108" i="6"/>
  <c r="M59" i="6"/>
  <c r="R33" i="6"/>
  <c r="O33" i="6"/>
  <c r="H111" i="6"/>
  <c r="M111" i="6"/>
  <c r="G122" i="6"/>
  <c r="L122" i="6"/>
  <c r="J122" i="6"/>
  <c r="U122" i="6"/>
  <c r="T122" i="6"/>
  <c r="H130" i="6"/>
  <c r="M130" i="6"/>
  <c r="H145" i="6"/>
  <c r="M145" i="6"/>
  <c r="K145" i="6"/>
  <c r="H98" i="6"/>
  <c r="M98" i="6"/>
  <c r="K98" i="6"/>
  <c r="M80" i="6"/>
  <c r="H80" i="6"/>
  <c r="K80" i="6" s="1"/>
  <c r="H19" i="6"/>
  <c r="M19" i="6"/>
  <c r="G81" i="6"/>
  <c r="L81" i="6"/>
  <c r="J81" i="6"/>
  <c r="H55" i="6"/>
  <c r="M55" i="6"/>
  <c r="K55" i="6"/>
  <c r="H32" i="6"/>
  <c r="M32" i="6"/>
  <c r="G22" i="6"/>
  <c r="J22" i="6"/>
  <c r="L22" i="6"/>
  <c r="J170" i="6"/>
  <c r="G170" i="6"/>
  <c r="L170" i="6"/>
  <c r="T170" i="6"/>
  <c r="U170" i="6"/>
  <c r="G59" i="6"/>
  <c r="L59" i="6"/>
  <c r="H48" i="6"/>
  <c r="K48" i="6"/>
  <c r="M48" i="6"/>
  <c r="K102" i="5"/>
  <c r="T102" i="5" s="1"/>
  <c r="AD102" i="5"/>
  <c r="AE102" i="5" s="1"/>
  <c r="H167" i="6"/>
  <c r="M167" i="6"/>
  <c r="H2" i="6"/>
  <c r="K2" i="6"/>
  <c r="F176" i="6"/>
  <c r="M2" i="6"/>
  <c r="K150" i="5"/>
  <c r="T150" i="5" s="1"/>
  <c r="AD150" i="5"/>
  <c r="AE150" i="5" s="1"/>
  <c r="K114" i="5"/>
  <c r="T114" i="5" s="1"/>
  <c r="AD114" i="5"/>
  <c r="AE114" i="5" s="1"/>
  <c r="G12" i="6"/>
  <c r="J12" i="6"/>
  <c r="L12" i="6"/>
  <c r="K106" i="5"/>
  <c r="T106" i="5" s="1"/>
  <c r="AD106" i="5"/>
  <c r="AE106" i="5" s="1"/>
  <c r="K133" i="5"/>
  <c r="T133" i="5" s="1"/>
  <c r="AD133" i="5"/>
  <c r="AE133" i="5" s="1"/>
  <c r="K159" i="5"/>
  <c r="T159" i="5" s="1"/>
  <c r="AD159" i="5"/>
  <c r="AE159" i="5" s="1"/>
  <c r="K71" i="5"/>
  <c r="T71" i="5" s="1"/>
  <c r="AD71" i="5"/>
  <c r="AE71" i="5" s="1"/>
  <c r="K82" i="5"/>
  <c r="T82" i="5" s="1"/>
  <c r="AD82" i="5"/>
  <c r="AE82" i="5" s="1"/>
  <c r="K52" i="5"/>
  <c r="T52" i="5" s="1"/>
  <c r="AD52" i="5"/>
  <c r="AE52" i="5" s="1"/>
  <c r="K93" i="5"/>
  <c r="T93" i="5" s="1"/>
  <c r="AD93" i="5"/>
  <c r="AE93" i="5" s="1"/>
  <c r="K23" i="5"/>
  <c r="T23" i="5" s="1"/>
  <c r="AD23" i="5"/>
  <c r="AE23" i="5" s="1"/>
  <c r="K17" i="5"/>
  <c r="T17" i="5" s="1"/>
  <c r="AD17" i="5"/>
  <c r="AE17" i="5" s="1"/>
  <c r="L27" i="6"/>
  <c r="G27" i="6"/>
  <c r="AA27" i="6"/>
  <c r="O43" i="8"/>
  <c r="J174" i="6"/>
  <c r="G174" i="6"/>
  <c r="L174" i="6"/>
  <c r="T174" i="6"/>
  <c r="U174" i="6"/>
  <c r="H57" i="6"/>
  <c r="M57" i="6"/>
  <c r="K57" i="6"/>
  <c r="G93" i="6"/>
  <c r="L93" i="6"/>
  <c r="J93" i="6"/>
  <c r="M97" i="6"/>
  <c r="H97" i="6"/>
  <c r="K97" i="6"/>
  <c r="G106" i="9"/>
  <c r="H106" i="9" s="1"/>
  <c r="X107" i="5" s="1"/>
  <c r="G111" i="6"/>
  <c r="J111" i="6" s="1"/>
  <c r="L111" i="6"/>
  <c r="G114" i="6"/>
  <c r="L114" i="6"/>
  <c r="H117" i="6"/>
  <c r="M117" i="6"/>
  <c r="K117" i="6"/>
  <c r="H125" i="6"/>
  <c r="M125" i="6"/>
  <c r="K125" i="6"/>
  <c r="G130" i="6"/>
  <c r="J130" i="6" s="1"/>
  <c r="L130" i="6"/>
  <c r="T130" i="6"/>
  <c r="U130" i="6"/>
  <c r="G134" i="6"/>
  <c r="L134" i="6"/>
  <c r="J134" i="6"/>
  <c r="T134" i="6"/>
  <c r="U134" i="6"/>
  <c r="H137" i="6"/>
  <c r="M137" i="6"/>
  <c r="K137" i="6"/>
  <c r="G141" i="9"/>
  <c r="H141" i="9" s="1"/>
  <c r="X142" i="5" s="1"/>
  <c r="G145" i="6"/>
  <c r="L145" i="6"/>
  <c r="J145" i="6"/>
  <c r="U145" i="6"/>
  <c r="T145" i="6"/>
  <c r="G149" i="6"/>
  <c r="L149" i="6"/>
  <c r="T149" i="6"/>
  <c r="U149" i="6"/>
  <c r="J153" i="6"/>
  <c r="G153" i="6"/>
  <c r="L153" i="6"/>
  <c r="T153" i="6"/>
  <c r="U153" i="6"/>
  <c r="H156" i="6"/>
  <c r="M156" i="6"/>
  <c r="K156" i="6"/>
  <c r="H159" i="6"/>
  <c r="M159" i="6"/>
  <c r="G92" i="9"/>
  <c r="H92" i="9" s="1"/>
  <c r="X93" i="5" s="1"/>
  <c r="G78" i="9"/>
  <c r="H78" i="9" s="1"/>
  <c r="X79" i="5" s="1"/>
  <c r="G74" i="9"/>
  <c r="H74" i="9" s="1"/>
  <c r="X75" i="5" s="1"/>
  <c r="M67" i="6"/>
  <c r="H67" i="6"/>
  <c r="K67" i="6"/>
  <c r="L34" i="6"/>
  <c r="G34" i="6"/>
  <c r="M28" i="6"/>
  <c r="H28" i="6"/>
  <c r="K28" i="6" s="1"/>
  <c r="M20" i="6"/>
  <c r="H20" i="6"/>
  <c r="K175" i="5"/>
  <c r="T175" i="5" s="1"/>
  <c r="AD175" i="5"/>
  <c r="AE175" i="5" s="1"/>
  <c r="G94" i="6"/>
  <c r="L94" i="6"/>
  <c r="G90" i="9"/>
  <c r="H90" i="9" s="1"/>
  <c r="X91" i="5" s="1"/>
  <c r="G86" i="6"/>
  <c r="J86" i="6" s="1"/>
  <c r="L86" i="6"/>
  <c r="H81" i="6"/>
  <c r="K81" i="6"/>
  <c r="M81" i="6"/>
  <c r="H77" i="6"/>
  <c r="M77" i="6"/>
  <c r="K77" i="6"/>
  <c r="G74" i="6"/>
  <c r="J74" i="6" s="1"/>
  <c r="L74" i="6"/>
  <c r="G70" i="6"/>
  <c r="J70" i="6" s="1"/>
  <c r="L70" i="6"/>
  <c r="H60" i="6"/>
  <c r="M60" i="6"/>
  <c r="G57" i="9"/>
  <c r="H57" i="9" s="1"/>
  <c r="X58" i="5" s="1"/>
  <c r="G53" i="9"/>
  <c r="H53" i="9" s="1"/>
  <c r="X54" i="5" s="1"/>
  <c r="G44" i="9"/>
  <c r="H44" i="9" s="1"/>
  <c r="X45" i="5" s="1"/>
  <c r="G40" i="9"/>
  <c r="H40" i="9" s="1"/>
  <c r="X41" i="5" s="1"/>
  <c r="G37" i="9"/>
  <c r="H37" i="9" s="1"/>
  <c r="X38" i="5" s="1"/>
  <c r="G33" i="9"/>
  <c r="H33" i="9" s="1"/>
  <c r="X34" i="5" s="1"/>
  <c r="G29" i="9"/>
  <c r="H29" i="9" s="1"/>
  <c r="X30" i="5" s="1"/>
  <c r="H17" i="6"/>
  <c r="K17" i="6" s="1"/>
  <c r="M17" i="6"/>
  <c r="H12" i="6"/>
  <c r="M12" i="6"/>
  <c r="G163" i="6"/>
  <c r="J163" i="6" s="1"/>
  <c r="L163" i="6"/>
  <c r="T163" i="6"/>
  <c r="U163" i="6"/>
  <c r="H71" i="6"/>
  <c r="K71" i="6" s="1"/>
  <c r="M71" i="6"/>
  <c r="H68" i="6"/>
  <c r="K68" i="6"/>
  <c r="M68" i="6"/>
  <c r="G65" i="6"/>
  <c r="J65" i="6"/>
  <c r="L65" i="6"/>
  <c r="G56" i="6"/>
  <c r="L56" i="6"/>
  <c r="J56" i="6"/>
  <c r="G41" i="9"/>
  <c r="H41" i="9" s="1"/>
  <c r="X42" i="5" s="1"/>
  <c r="G35" i="6"/>
  <c r="L35" i="6"/>
  <c r="J35" i="6"/>
  <c r="G24" i="9"/>
  <c r="H24" i="9" s="1"/>
  <c r="X25" i="5" s="1"/>
  <c r="G17" i="6"/>
  <c r="L17" i="6"/>
  <c r="J17" i="6"/>
  <c r="H24" i="6"/>
  <c r="M24" i="6"/>
  <c r="K24" i="6"/>
  <c r="M14" i="6"/>
  <c r="H14" i="6"/>
  <c r="M10" i="6"/>
  <c r="H10" i="6"/>
  <c r="K10" i="6"/>
  <c r="G2" i="9"/>
  <c r="H2" i="9" s="1"/>
  <c r="X3" i="5" s="1"/>
  <c r="E176" i="9"/>
  <c r="H162" i="6"/>
  <c r="M162" i="6"/>
  <c r="K162" i="6"/>
  <c r="H169" i="6"/>
  <c r="M169" i="6"/>
  <c r="K169" i="6"/>
  <c r="N3" i="5"/>
  <c r="N177" i="5" s="1"/>
  <c r="E177" i="5"/>
  <c r="K162" i="5"/>
  <c r="T162" i="5" s="1"/>
  <c r="AD162" i="5"/>
  <c r="AE162" i="5" s="1"/>
  <c r="K153" i="5"/>
  <c r="T153" i="5" s="1"/>
  <c r="AD153" i="5"/>
  <c r="AE153" i="5" s="1"/>
  <c r="K98" i="5"/>
  <c r="T98" i="5" s="1"/>
  <c r="AD98" i="5"/>
  <c r="AE98" i="5" s="1"/>
  <c r="K67" i="5"/>
  <c r="T67" i="5" s="1"/>
  <c r="AD67" i="5"/>
  <c r="AE67" i="5" s="1"/>
  <c r="G25" i="6"/>
  <c r="L25" i="6"/>
  <c r="J25" i="6"/>
  <c r="G18" i="6"/>
  <c r="L18" i="6"/>
  <c r="J18" i="6"/>
  <c r="H13" i="6"/>
  <c r="K13" i="6" s="1"/>
  <c r="M13" i="6"/>
  <c r="H6" i="6"/>
  <c r="M6" i="6"/>
  <c r="L162" i="6"/>
  <c r="T162" i="6"/>
  <c r="U162" i="6"/>
  <c r="J162" i="6"/>
  <c r="G162" i="6"/>
  <c r="L169" i="6"/>
  <c r="T169" i="6"/>
  <c r="U169" i="6"/>
  <c r="J169" i="6"/>
  <c r="G169" i="6"/>
  <c r="G163" i="9"/>
  <c r="H163" i="9" s="1"/>
  <c r="K154" i="5"/>
  <c r="T154" i="5" s="1"/>
  <c r="AD154" i="5"/>
  <c r="AE154" i="5" s="1"/>
  <c r="G14" i="9"/>
  <c r="H14" i="9" s="1"/>
  <c r="X15" i="5" s="1"/>
  <c r="H9" i="6"/>
  <c r="K9" i="6" s="1"/>
  <c r="M9" i="6"/>
  <c r="H7" i="6"/>
  <c r="M7" i="6"/>
  <c r="G4" i="6"/>
  <c r="L4" i="6"/>
  <c r="J4" i="6"/>
  <c r="K174" i="6"/>
  <c r="H174" i="6"/>
  <c r="M174" i="6"/>
  <c r="H166" i="6"/>
  <c r="M166" i="6"/>
  <c r="K173" i="5"/>
  <c r="T173" i="5" s="1"/>
  <c r="AD173" i="5"/>
  <c r="AE173" i="5" s="1"/>
  <c r="K129" i="5"/>
  <c r="T129" i="5" s="1"/>
  <c r="AD129" i="5"/>
  <c r="AE129" i="5" s="1"/>
  <c r="K113" i="5"/>
  <c r="T113" i="5" s="1"/>
  <c r="AD113" i="5"/>
  <c r="AE113" i="5" s="1"/>
  <c r="K90" i="5"/>
  <c r="T90" i="5" s="1"/>
  <c r="AD90" i="5"/>
  <c r="AE90" i="5" s="1"/>
  <c r="K160" i="5"/>
  <c r="T160" i="5" s="1"/>
  <c r="AD160" i="5"/>
  <c r="AE160" i="5" s="1"/>
  <c r="K144" i="5"/>
  <c r="T144" i="5" s="1"/>
  <c r="AD144" i="5"/>
  <c r="AE144" i="5" s="1"/>
  <c r="K128" i="5"/>
  <c r="T128" i="5" s="1"/>
  <c r="AD128" i="5"/>
  <c r="AE128" i="5" s="1"/>
  <c r="K112" i="5"/>
  <c r="T112" i="5" s="1"/>
  <c r="AD112" i="5"/>
  <c r="AE112" i="5" s="1"/>
  <c r="K107" i="5"/>
  <c r="T107" i="5" s="1"/>
  <c r="AD107" i="5"/>
  <c r="AE107" i="5" s="1"/>
  <c r="K99" i="5"/>
  <c r="T99" i="5" s="1"/>
  <c r="AD99" i="5"/>
  <c r="AE99" i="5" s="1"/>
  <c r="K155" i="5"/>
  <c r="T155" i="5" s="1"/>
  <c r="AD155" i="5"/>
  <c r="AE155" i="5" s="1"/>
  <c r="K139" i="5"/>
  <c r="T139" i="5" s="1"/>
  <c r="AD139" i="5"/>
  <c r="AE139" i="5" s="1"/>
  <c r="K123" i="5"/>
  <c r="T123" i="5" s="1"/>
  <c r="AD123" i="5"/>
  <c r="AE123" i="5" s="1"/>
  <c r="K88" i="5"/>
  <c r="T88" i="5" s="1"/>
  <c r="AD88" i="5"/>
  <c r="AE88" i="5" s="1"/>
  <c r="K75" i="5"/>
  <c r="T75" i="5" s="1"/>
  <c r="AD75" i="5"/>
  <c r="AE75" i="5" s="1"/>
  <c r="K72" i="5"/>
  <c r="T72" i="5" s="1"/>
  <c r="AD72" i="5"/>
  <c r="AE72" i="5" s="1"/>
  <c r="K41" i="5"/>
  <c r="T41" i="5" s="1"/>
  <c r="AD41" i="5"/>
  <c r="AE41" i="5" s="1"/>
  <c r="K78" i="5"/>
  <c r="T78" i="5" s="1"/>
  <c r="AD78" i="5"/>
  <c r="AE78" i="5" s="1"/>
  <c r="K55" i="5"/>
  <c r="T55" i="5" s="1"/>
  <c r="AD55" i="5"/>
  <c r="AE55" i="5" s="1"/>
  <c r="K47" i="5"/>
  <c r="T47" i="5" s="1"/>
  <c r="AD47" i="5"/>
  <c r="AE47" i="5" s="1"/>
  <c r="K21" i="5"/>
  <c r="T21" i="5" s="1"/>
  <c r="AD21" i="5"/>
  <c r="AE21" i="5" s="1"/>
  <c r="K105" i="5"/>
  <c r="T105" i="5" s="1"/>
  <c r="AD105" i="5"/>
  <c r="AE105" i="5" s="1"/>
  <c r="K89" i="5"/>
  <c r="T89" i="5" s="1"/>
  <c r="AD89" i="5"/>
  <c r="AE89" i="5" s="1"/>
  <c r="K73" i="5"/>
  <c r="T73" i="5" s="1"/>
  <c r="AD73" i="5"/>
  <c r="AE73" i="5" s="1"/>
  <c r="K58" i="5"/>
  <c r="T58" i="5" s="1"/>
  <c r="AD58" i="5"/>
  <c r="AE58" i="5" s="1"/>
  <c r="K69" i="5"/>
  <c r="T69" i="5" s="1"/>
  <c r="AD69" i="5"/>
  <c r="AE69" i="5" s="1"/>
  <c r="K57" i="5"/>
  <c r="T57" i="5" s="1"/>
  <c r="AD57" i="5"/>
  <c r="AE57" i="5" s="1"/>
  <c r="K24" i="5"/>
  <c r="T24" i="5" s="1"/>
  <c r="AD24" i="5"/>
  <c r="AE24" i="5" s="1"/>
  <c r="K16" i="5"/>
  <c r="T16" i="5" s="1"/>
  <c r="AD16" i="5"/>
  <c r="AE16" i="5" s="1"/>
  <c r="K8" i="5"/>
  <c r="T8" i="5" s="1"/>
  <c r="AD8" i="5"/>
  <c r="AE8" i="5" s="1"/>
  <c r="K30" i="5"/>
  <c r="T30" i="5" s="1"/>
  <c r="AD30" i="5"/>
  <c r="AE30" i="5" s="1"/>
  <c r="K14" i="5"/>
  <c r="T14" i="5" s="1"/>
  <c r="AD14" i="5"/>
  <c r="AE14" i="5" s="1"/>
  <c r="G34" i="9"/>
  <c r="H34" i="9" s="1"/>
  <c r="X35" i="5" s="1"/>
  <c r="G46" i="9"/>
  <c r="H46" i="9" s="1"/>
  <c r="X47" i="5" s="1"/>
  <c r="G58" i="9"/>
  <c r="H58" i="9" s="1"/>
  <c r="X59" i="5" s="1"/>
  <c r="G77" i="9"/>
  <c r="H77" i="9" s="1"/>
  <c r="X78" i="5" s="1"/>
  <c r="G85" i="6"/>
  <c r="J85" i="6" s="1"/>
  <c r="L85" i="6"/>
  <c r="L90" i="6"/>
  <c r="G90" i="6"/>
  <c r="J90" i="6"/>
  <c r="H99" i="6"/>
  <c r="M99" i="6"/>
  <c r="K99" i="6"/>
  <c r="G101" i="6"/>
  <c r="J101" i="6" s="1"/>
  <c r="L101" i="6"/>
  <c r="G105" i="6"/>
  <c r="L105" i="6"/>
  <c r="G113" i="6"/>
  <c r="J113" i="6" s="1"/>
  <c r="L113" i="6"/>
  <c r="G116" i="6"/>
  <c r="L116" i="6"/>
  <c r="J116" i="6"/>
  <c r="H127" i="6"/>
  <c r="K127" i="6" s="1"/>
  <c r="M127" i="6"/>
  <c r="H136" i="6"/>
  <c r="M136" i="6"/>
  <c r="G140" i="9"/>
  <c r="H140" i="9" s="1"/>
  <c r="X141" i="5" s="1"/>
  <c r="J148" i="6"/>
  <c r="G148" i="6"/>
  <c r="L148" i="6"/>
  <c r="U148" i="6"/>
  <c r="T148" i="6"/>
  <c r="G152" i="6"/>
  <c r="U152" i="6"/>
  <c r="L152" i="6"/>
  <c r="J152" i="6"/>
  <c r="T152" i="6"/>
  <c r="O7" i="8"/>
  <c r="H31" i="6"/>
  <c r="M31" i="6"/>
  <c r="K31" i="6"/>
  <c r="V89" i="5"/>
  <c r="R88" i="8"/>
  <c r="H72" i="6"/>
  <c r="M72" i="6"/>
  <c r="G91" i="9"/>
  <c r="H91" i="9" s="1"/>
  <c r="X92" i="5" s="1"/>
  <c r="M106" i="6"/>
  <c r="H106" i="6"/>
  <c r="K106" i="6"/>
  <c r="M109" i="6"/>
  <c r="H109" i="6"/>
  <c r="K109" i="6"/>
  <c r="L115" i="6"/>
  <c r="G115" i="6"/>
  <c r="J115" i="6"/>
  <c r="M138" i="6"/>
  <c r="H138" i="6"/>
  <c r="U138" i="6"/>
  <c r="K138" i="6"/>
  <c r="T138" i="6"/>
  <c r="L147" i="6"/>
  <c r="J147" i="6"/>
  <c r="T147" i="6"/>
  <c r="G147" i="6"/>
  <c r="U147" i="6"/>
  <c r="L151" i="6"/>
  <c r="J151" i="6"/>
  <c r="G151" i="6"/>
  <c r="T151" i="6"/>
  <c r="U151" i="6"/>
  <c r="J155" i="6"/>
  <c r="T155" i="6"/>
  <c r="U155" i="6"/>
  <c r="G155" i="6"/>
  <c r="L155" i="6"/>
  <c r="J150" i="6"/>
  <c r="N150" i="6" s="1"/>
  <c r="P150" i="6" s="1"/>
  <c r="V19" i="5"/>
  <c r="R18" i="8"/>
  <c r="U157" i="6"/>
  <c r="Q79" i="6"/>
  <c r="J79" i="6"/>
  <c r="I79" i="6"/>
  <c r="N79" i="6"/>
  <c r="M128" i="6"/>
  <c r="R128" i="6" s="1"/>
  <c r="M42" i="6"/>
  <c r="R42" i="6" s="1"/>
  <c r="Q108" i="6"/>
  <c r="J108" i="6"/>
  <c r="N108" i="6" s="1"/>
  <c r="P108" i="6" s="1"/>
  <c r="T108" i="6" s="1"/>
  <c r="I108" i="6"/>
  <c r="M120" i="6"/>
  <c r="M131" i="6"/>
  <c r="R131" i="6" s="1"/>
  <c r="Q154" i="6"/>
  <c r="J154" i="6"/>
  <c r="N154" i="6" s="1"/>
  <c r="P154" i="6" s="1"/>
  <c r="I154" i="6"/>
  <c r="J87" i="6"/>
  <c r="N87" i="6" s="1"/>
  <c r="N166" i="6"/>
  <c r="I166" i="6"/>
  <c r="Q166" i="6"/>
  <c r="R123" i="6"/>
  <c r="O123" i="6"/>
  <c r="Q135" i="6"/>
  <c r="N135" i="6"/>
  <c r="P135" i="6" s="1"/>
  <c r="I135" i="6"/>
  <c r="M154" i="6"/>
  <c r="R154" i="6" s="1"/>
  <c r="M47" i="6"/>
  <c r="M35" i="6"/>
  <c r="R35" i="6" s="1"/>
  <c r="R8" i="6"/>
  <c r="O8" i="6"/>
  <c r="M104" i="6"/>
  <c r="R15" i="6"/>
  <c r="O15" i="6"/>
  <c r="K65" i="6"/>
  <c r="K114" i="6"/>
  <c r="O114" i="6" s="1"/>
  <c r="M108" i="6"/>
  <c r="R108" i="6" s="1"/>
  <c r="R59" i="6"/>
  <c r="O59" i="6"/>
  <c r="K104" i="6"/>
  <c r="K43" i="5"/>
  <c r="T43" i="5" s="1"/>
  <c r="AD43" i="5"/>
  <c r="M177" i="5"/>
  <c r="F42" i="10"/>
  <c r="E118" i="10"/>
  <c r="F118" i="10" s="1"/>
  <c r="L151" i="12"/>
  <c r="Z151" i="5" s="1"/>
  <c r="I177" i="4" l="1"/>
  <c r="AA151" i="5"/>
  <c r="R109" i="6"/>
  <c r="O109" i="6"/>
  <c r="R7" i="6"/>
  <c r="R24" i="6"/>
  <c r="O24" i="6"/>
  <c r="R12" i="6"/>
  <c r="Q94" i="6"/>
  <c r="N94" i="6"/>
  <c r="I94" i="6"/>
  <c r="R20" i="6"/>
  <c r="R159" i="6"/>
  <c r="R32" i="6"/>
  <c r="O32" i="6"/>
  <c r="Q31" i="6"/>
  <c r="I31" i="6"/>
  <c r="Q7" i="6"/>
  <c r="S7" i="6" s="1"/>
  <c r="N7" i="6"/>
  <c r="I7" i="6"/>
  <c r="R58" i="6"/>
  <c r="Q38" i="6"/>
  <c r="I38" i="6"/>
  <c r="Q137" i="6"/>
  <c r="I137" i="6"/>
  <c r="R21" i="6"/>
  <c r="R51" i="6"/>
  <c r="O51" i="6"/>
  <c r="R45" i="6"/>
  <c r="O45" i="6"/>
  <c r="P126" i="6"/>
  <c r="Q132" i="6"/>
  <c r="I132" i="6"/>
  <c r="R129" i="6"/>
  <c r="R103" i="6"/>
  <c r="R163" i="6"/>
  <c r="I173" i="6"/>
  <c r="Q173" i="6"/>
  <c r="N173" i="6"/>
  <c r="R11" i="6"/>
  <c r="Q91" i="6"/>
  <c r="I91" i="6"/>
  <c r="R92" i="6"/>
  <c r="R148" i="6"/>
  <c r="O148" i="6"/>
  <c r="R116" i="6"/>
  <c r="I160" i="6"/>
  <c r="Q160" i="6"/>
  <c r="R160" i="6"/>
  <c r="O160" i="6"/>
  <c r="R29" i="6"/>
  <c r="O29" i="6"/>
  <c r="Q60" i="6"/>
  <c r="I60" i="6"/>
  <c r="R69" i="6"/>
  <c r="R134" i="6"/>
  <c r="V18" i="5"/>
  <c r="R17" i="8"/>
  <c r="S135" i="6"/>
  <c r="V135" i="6" s="1"/>
  <c r="W136" i="5" s="1"/>
  <c r="Y136" i="5" s="1"/>
  <c r="S108" i="6"/>
  <c r="Q155" i="6"/>
  <c r="N155" i="6"/>
  <c r="I155" i="6"/>
  <c r="Q115" i="6"/>
  <c r="N115" i="6"/>
  <c r="I115" i="6"/>
  <c r="R31" i="6"/>
  <c r="O31" i="6"/>
  <c r="R174" i="6"/>
  <c r="O174" i="6"/>
  <c r="Q4" i="6"/>
  <c r="N4" i="6"/>
  <c r="I4" i="6"/>
  <c r="I162" i="6"/>
  <c r="Q162" i="6"/>
  <c r="S162" i="6" s="1"/>
  <c r="V162" i="6" s="1"/>
  <c r="W163" i="5" s="1"/>
  <c r="N162" i="6"/>
  <c r="Q25" i="6"/>
  <c r="N25" i="6"/>
  <c r="I25" i="6"/>
  <c r="R162" i="6"/>
  <c r="O162" i="6"/>
  <c r="R10" i="6"/>
  <c r="O10" i="6"/>
  <c r="R68" i="6"/>
  <c r="O68" i="6"/>
  <c r="R60" i="6"/>
  <c r="R81" i="6"/>
  <c r="O81" i="6"/>
  <c r="Q34" i="6"/>
  <c r="N34" i="6"/>
  <c r="I34" i="6"/>
  <c r="R67" i="6"/>
  <c r="O67" i="6"/>
  <c r="Q149" i="6"/>
  <c r="I149" i="6"/>
  <c r="Q114" i="6"/>
  <c r="S114" i="6" s="1"/>
  <c r="N114" i="6"/>
  <c r="P114" i="6" s="1"/>
  <c r="T114" i="6" s="1"/>
  <c r="I114" i="6"/>
  <c r="V44" i="5"/>
  <c r="R43" i="8"/>
  <c r="R167" i="6"/>
  <c r="Q59" i="6"/>
  <c r="S59" i="6" s="1"/>
  <c r="I59" i="6"/>
  <c r="N59" i="6"/>
  <c r="P59" i="6" s="1"/>
  <c r="T59" i="6" s="1"/>
  <c r="N170" i="6"/>
  <c r="Q170" i="6"/>
  <c r="I170" i="6"/>
  <c r="Q22" i="6"/>
  <c r="N22" i="6"/>
  <c r="I22" i="6"/>
  <c r="R19" i="6"/>
  <c r="R130" i="6"/>
  <c r="R111" i="6"/>
  <c r="R141" i="6"/>
  <c r="Q129" i="6"/>
  <c r="S129" i="6" s="1"/>
  <c r="V129" i="6" s="1"/>
  <c r="W130" i="5" s="1"/>
  <c r="Y130" i="5" s="1"/>
  <c r="I129" i="6"/>
  <c r="N129" i="6"/>
  <c r="Q109" i="6"/>
  <c r="S109" i="6" s="1"/>
  <c r="N109" i="6"/>
  <c r="P109" i="6" s="1"/>
  <c r="T109" i="6" s="1"/>
  <c r="I109" i="6"/>
  <c r="R53" i="6"/>
  <c r="R155" i="6"/>
  <c r="R82" i="6"/>
  <c r="O82" i="6"/>
  <c r="V59" i="5"/>
  <c r="R58" i="8"/>
  <c r="R161" i="6"/>
  <c r="O161" i="6"/>
  <c r="I171" i="6"/>
  <c r="Q171" i="6"/>
  <c r="N171" i="6"/>
  <c r="Q23" i="6"/>
  <c r="S23" i="6" s="1"/>
  <c r="I23" i="6"/>
  <c r="N23" i="6"/>
  <c r="R3" i="6"/>
  <c r="O3" i="6"/>
  <c r="Q21" i="6"/>
  <c r="S21" i="6" s="1"/>
  <c r="N21" i="6"/>
  <c r="I21" i="6"/>
  <c r="Q50" i="6"/>
  <c r="S50" i="6" s="1"/>
  <c r="N50" i="6"/>
  <c r="P50" i="6" s="1"/>
  <c r="T50" i="6" s="1"/>
  <c r="I50" i="6"/>
  <c r="R23" i="6"/>
  <c r="O23" i="6"/>
  <c r="Q51" i="6"/>
  <c r="S51" i="6" s="1"/>
  <c r="N51" i="6"/>
  <c r="P51" i="6" s="1"/>
  <c r="T51" i="6" s="1"/>
  <c r="I51" i="6"/>
  <c r="Q99" i="6"/>
  <c r="I99" i="6"/>
  <c r="N99" i="6"/>
  <c r="Q54" i="6"/>
  <c r="N54" i="6"/>
  <c r="I54" i="6"/>
  <c r="Q58" i="6"/>
  <c r="S58" i="6" s="1"/>
  <c r="I58" i="6"/>
  <c r="N58" i="6"/>
  <c r="Q159" i="6"/>
  <c r="S159" i="6" s="1"/>
  <c r="V159" i="6" s="1"/>
  <c r="W160" i="5" s="1"/>
  <c r="Y160" i="5" s="1"/>
  <c r="N159" i="6"/>
  <c r="I159" i="6"/>
  <c r="Q117" i="6"/>
  <c r="I117" i="6"/>
  <c r="Q82" i="6"/>
  <c r="S82" i="6" s="1"/>
  <c r="N82" i="6"/>
  <c r="P82" i="6" s="1"/>
  <c r="T82" i="6" s="1"/>
  <c r="I82" i="6"/>
  <c r="Q6" i="6"/>
  <c r="I6" i="6"/>
  <c r="R40" i="6"/>
  <c r="O40" i="6"/>
  <c r="R52" i="6"/>
  <c r="R91" i="6"/>
  <c r="R107" i="6"/>
  <c r="P120" i="6"/>
  <c r="P102" i="6"/>
  <c r="T102" i="6" s="1"/>
  <c r="S126" i="6"/>
  <c r="V126" i="6" s="1"/>
  <c r="W127" i="5" s="1"/>
  <c r="Y127" i="5" s="1"/>
  <c r="J132" i="6"/>
  <c r="N132" i="6" s="1"/>
  <c r="P132" i="6" s="1"/>
  <c r="R124" i="6"/>
  <c r="O124" i="6"/>
  <c r="R112" i="6"/>
  <c r="S112" i="6" s="1"/>
  <c r="O112" i="6"/>
  <c r="P112" i="6" s="1"/>
  <c r="T112" i="6" s="1"/>
  <c r="I112" i="6"/>
  <c r="Q142" i="6"/>
  <c r="N142" i="6"/>
  <c r="I142" i="6"/>
  <c r="R133" i="6"/>
  <c r="Q125" i="6"/>
  <c r="I125" i="6"/>
  <c r="N125" i="6"/>
  <c r="N107" i="6"/>
  <c r="Q107" i="6"/>
  <c r="I107" i="6"/>
  <c r="R170" i="6"/>
  <c r="K163" i="6"/>
  <c r="O163" i="6" s="1"/>
  <c r="Q8" i="6"/>
  <c r="S8" i="6" s="1"/>
  <c r="N8" i="6"/>
  <c r="P8" i="6" s="1"/>
  <c r="T8" i="6" s="1"/>
  <c r="I8" i="6"/>
  <c r="J173" i="6"/>
  <c r="X166" i="5"/>
  <c r="X161" i="5"/>
  <c r="X177" i="5" s="1"/>
  <c r="R165" i="6"/>
  <c r="R16" i="6"/>
  <c r="O16" i="6"/>
  <c r="R43" i="6"/>
  <c r="R66" i="6"/>
  <c r="O66" i="6"/>
  <c r="Q16" i="6"/>
  <c r="I16" i="6"/>
  <c r="N16" i="6"/>
  <c r="Q42" i="6"/>
  <c r="S42" i="6" s="1"/>
  <c r="N42" i="6"/>
  <c r="P42" i="6" s="1"/>
  <c r="T42" i="6" s="1"/>
  <c r="I42" i="6"/>
  <c r="Q55" i="6"/>
  <c r="N55" i="6"/>
  <c r="I55" i="6"/>
  <c r="N83" i="6"/>
  <c r="I83" i="6"/>
  <c r="Q83" i="6"/>
  <c r="R22" i="6"/>
  <c r="O22" i="6"/>
  <c r="R41" i="6"/>
  <c r="O41" i="6"/>
  <c r="Q73" i="6"/>
  <c r="N73" i="6"/>
  <c r="I73" i="6"/>
  <c r="Q143" i="6"/>
  <c r="S143" i="6" s="1"/>
  <c r="V143" i="6" s="1"/>
  <c r="W144" i="5" s="1"/>
  <c r="Y144" i="5" s="1"/>
  <c r="I143" i="6"/>
  <c r="N143" i="6"/>
  <c r="P143" i="6" s="1"/>
  <c r="R122" i="6"/>
  <c r="R79" i="6"/>
  <c r="Q144" i="6"/>
  <c r="N144" i="6"/>
  <c r="I144" i="6"/>
  <c r="Q33" i="6"/>
  <c r="S33" i="6" s="1"/>
  <c r="I33" i="6"/>
  <c r="R152" i="6"/>
  <c r="O152" i="6"/>
  <c r="Q133" i="6"/>
  <c r="S133" i="6" s="1"/>
  <c r="V133" i="6" s="1"/>
  <c r="W134" i="5" s="1"/>
  <c r="N133" i="6"/>
  <c r="I133" i="6"/>
  <c r="R172" i="6"/>
  <c r="J160" i="6"/>
  <c r="N160" i="6" s="1"/>
  <c r="P160" i="6" s="1"/>
  <c r="Q20" i="6"/>
  <c r="S20" i="6" s="1"/>
  <c r="N20" i="6"/>
  <c r="I20" i="6"/>
  <c r="Q71" i="6"/>
  <c r="I71" i="6"/>
  <c r="R49" i="6"/>
  <c r="R149" i="6"/>
  <c r="R72" i="6"/>
  <c r="Q113" i="6"/>
  <c r="N113" i="6"/>
  <c r="I113" i="6"/>
  <c r="Q90" i="6"/>
  <c r="S90" i="6" s="1"/>
  <c r="N90" i="6"/>
  <c r="P90" i="6" s="1"/>
  <c r="T90" i="6" s="1"/>
  <c r="I90" i="6"/>
  <c r="I169" i="6"/>
  <c r="Q169" i="6"/>
  <c r="N169" i="6"/>
  <c r="R6" i="6"/>
  <c r="N163" i="6"/>
  <c r="Q163" i="6"/>
  <c r="S163" i="6" s="1"/>
  <c r="V163" i="6" s="1"/>
  <c r="W164" i="5" s="1"/>
  <c r="Y164" i="5" s="1"/>
  <c r="I163" i="6"/>
  <c r="Q27" i="6"/>
  <c r="I27" i="6"/>
  <c r="N27" i="6"/>
  <c r="R142" i="6"/>
  <c r="Q44" i="6"/>
  <c r="I44" i="6"/>
  <c r="Q5" i="6"/>
  <c r="I5" i="6"/>
  <c r="I78" i="6"/>
  <c r="Q78" i="6"/>
  <c r="R30" i="6"/>
  <c r="O30" i="6"/>
  <c r="R64" i="6"/>
  <c r="S64" i="6" s="1"/>
  <c r="O64" i="6"/>
  <c r="P64" i="6" s="1"/>
  <c r="T64" i="6" s="1"/>
  <c r="I64" i="6"/>
  <c r="R105" i="6"/>
  <c r="R144" i="6"/>
  <c r="Q89" i="6"/>
  <c r="S89" i="6" s="1"/>
  <c r="I89" i="6"/>
  <c r="N89" i="6"/>
  <c r="P89" i="6" s="1"/>
  <c r="T89" i="6" s="1"/>
  <c r="R158" i="6"/>
  <c r="O158" i="6"/>
  <c r="R26" i="6"/>
  <c r="R74" i="6"/>
  <c r="Q45" i="6"/>
  <c r="S45" i="6" s="1"/>
  <c r="N45" i="6"/>
  <c r="P45" i="6" s="1"/>
  <c r="T45" i="6" s="1"/>
  <c r="I45" i="6"/>
  <c r="Q76" i="6"/>
  <c r="I76" i="6"/>
  <c r="R138" i="6"/>
  <c r="S138" i="6" s="1"/>
  <c r="V138" i="6" s="1"/>
  <c r="W139" i="5" s="1"/>
  <c r="Y139" i="5" s="1"/>
  <c r="L139" i="12" s="1"/>
  <c r="Z139" i="5" s="1"/>
  <c r="AA139" i="5" s="1"/>
  <c r="I138" i="6"/>
  <c r="O138" i="6"/>
  <c r="P138" i="6" s="1"/>
  <c r="K72" i="6"/>
  <c r="O72" i="6" s="1"/>
  <c r="V8" i="5"/>
  <c r="R7" i="8"/>
  <c r="Q116" i="6"/>
  <c r="S116" i="6" s="1"/>
  <c r="N116" i="6"/>
  <c r="I116" i="6"/>
  <c r="R99" i="6"/>
  <c r="O99" i="6"/>
  <c r="R166" i="6"/>
  <c r="K7" i="6"/>
  <c r="O7" i="6" s="1"/>
  <c r="K6" i="6"/>
  <c r="O6" i="6" s="1"/>
  <c r="Q18" i="6"/>
  <c r="I18" i="6"/>
  <c r="N18" i="6"/>
  <c r="R169" i="6"/>
  <c r="O169" i="6"/>
  <c r="Q65" i="6"/>
  <c r="S65" i="6" s="1"/>
  <c r="I65" i="6"/>
  <c r="N65" i="6"/>
  <c r="P65" i="6" s="1"/>
  <c r="T65" i="6" s="1"/>
  <c r="K12" i="6"/>
  <c r="O12" i="6" s="1"/>
  <c r="R77" i="6"/>
  <c r="O77" i="6"/>
  <c r="Y175" i="5"/>
  <c r="J34" i="6"/>
  <c r="K159" i="6"/>
  <c r="O159" i="6" s="1"/>
  <c r="N145" i="6"/>
  <c r="Q145" i="6"/>
  <c r="S145" i="6" s="1"/>
  <c r="V145" i="6" s="1"/>
  <c r="W146" i="5" s="1"/>
  <c r="Y146" i="5" s="1"/>
  <c r="I145" i="6"/>
  <c r="R137" i="6"/>
  <c r="O137" i="6"/>
  <c r="O117" i="6"/>
  <c r="R117" i="6"/>
  <c r="R57" i="6"/>
  <c r="S57" i="6" s="1"/>
  <c r="O57" i="6"/>
  <c r="P57" i="6" s="1"/>
  <c r="T57" i="6" s="1"/>
  <c r="N174" i="6"/>
  <c r="P174" i="6" s="1"/>
  <c r="I174" i="6"/>
  <c r="Q174" i="6"/>
  <c r="S174" i="6" s="1"/>
  <c r="V174" i="6" s="1"/>
  <c r="W175" i="5" s="1"/>
  <c r="J27" i="6"/>
  <c r="Q12" i="6"/>
  <c r="S12" i="6" s="1"/>
  <c r="N12" i="6"/>
  <c r="I12" i="6"/>
  <c r="R2" i="6"/>
  <c r="O2" i="6"/>
  <c r="R48" i="6"/>
  <c r="O48" i="6"/>
  <c r="Q81" i="6"/>
  <c r="S81" i="6" s="1"/>
  <c r="I81" i="6"/>
  <c r="N81" i="6"/>
  <c r="P81" i="6" s="1"/>
  <c r="T81" i="6" s="1"/>
  <c r="O145" i="6"/>
  <c r="R145" i="6"/>
  <c r="Q122" i="6"/>
  <c r="S122" i="6" s="1"/>
  <c r="V122" i="6" s="1"/>
  <c r="W123" i="5" s="1"/>
  <c r="N122" i="6"/>
  <c r="I122" i="6"/>
  <c r="P131" i="6"/>
  <c r="K141" i="6"/>
  <c r="O141" i="6" s="1"/>
  <c r="R118" i="6"/>
  <c r="S118" i="6" s="1"/>
  <c r="V118" i="6" s="1"/>
  <c r="W119" i="5" s="1"/>
  <c r="Y119" i="5" s="1"/>
  <c r="O118" i="6"/>
  <c r="P118" i="6" s="1"/>
  <c r="I118" i="6"/>
  <c r="Q84" i="6"/>
  <c r="I84" i="6"/>
  <c r="N84" i="6"/>
  <c r="V41" i="5"/>
  <c r="R40" i="8"/>
  <c r="R87" i="6"/>
  <c r="O87" i="6"/>
  <c r="P87" i="6" s="1"/>
  <c r="T87" i="6" s="1"/>
  <c r="J44" i="6"/>
  <c r="N44" i="6" s="1"/>
  <c r="P44" i="6" s="1"/>
  <c r="T44" i="6" s="1"/>
  <c r="J31" i="6"/>
  <c r="N31" i="6" s="1"/>
  <c r="P31" i="6" s="1"/>
  <c r="T31" i="6" s="1"/>
  <c r="Y124" i="5"/>
  <c r="R168" i="6"/>
  <c r="O168" i="6"/>
  <c r="Y134" i="5"/>
  <c r="L134" i="12" s="1"/>
  <c r="Z134" i="5" s="1"/>
  <c r="AA134" i="5" s="1"/>
  <c r="I164" i="6"/>
  <c r="Q164" i="6"/>
  <c r="N164" i="6"/>
  <c r="R18" i="6"/>
  <c r="O18" i="6"/>
  <c r="R164" i="6"/>
  <c r="O164" i="6"/>
  <c r="Y163" i="5"/>
  <c r="N168" i="6"/>
  <c r="P168" i="6" s="1"/>
  <c r="I168" i="6"/>
  <c r="Q168" i="6"/>
  <c r="S168" i="6" s="1"/>
  <c r="V168" i="6" s="1"/>
  <c r="W169" i="5" s="1"/>
  <c r="Y169" i="5" s="1"/>
  <c r="L169" i="12" s="1"/>
  <c r="Z169" i="5" s="1"/>
  <c r="AA169" i="5" s="1"/>
  <c r="Q47" i="6"/>
  <c r="S47" i="6" s="1"/>
  <c r="I47" i="6"/>
  <c r="N47" i="6"/>
  <c r="P47" i="6" s="1"/>
  <c r="T47" i="6" s="1"/>
  <c r="N63" i="6"/>
  <c r="Q63" i="6"/>
  <c r="I63" i="6"/>
  <c r="J78" i="6"/>
  <c r="N78" i="6" s="1"/>
  <c r="P78" i="6" s="1"/>
  <c r="T78" i="6" s="1"/>
  <c r="Q14" i="6"/>
  <c r="S14" i="6" s="1"/>
  <c r="I14" i="6"/>
  <c r="N14" i="6"/>
  <c r="K30" i="6"/>
  <c r="N48" i="6"/>
  <c r="P48" i="6" s="1"/>
  <c r="T48" i="6" s="1"/>
  <c r="I48" i="6"/>
  <c r="Q48" i="6"/>
  <c r="K58" i="6"/>
  <c r="O58" i="6" s="1"/>
  <c r="R70" i="6"/>
  <c r="O70" i="6"/>
  <c r="J99" i="6"/>
  <c r="N172" i="6"/>
  <c r="Q172" i="6"/>
  <c r="S172" i="6" s="1"/>
  <c r="V172" i="6" s="1"/>
  <c r="W173" i="5" s="1"/>
  <c r="Y173" i="5" s="1"/>
  <c r="L173" i="12" s="1"/>
  <c r="Z173" i="5" s="1"/>
  <c r="AA173" i="5" s="1"/>
  <c r="I172" i="6"/>
  <c r="Q32" i="6"/>
  <c r="S32" i="6" s="1"/>
  <c r="N32" i="6"/>
  <c r="P32" i="6" s="1"/>
  <c r="T32" i="6" s="1"/>
  <c r="I32" i="6"/>
  <c r="K64" i="6"/>
  <c r="R93" i="6"/>
  <c r="O93" i="6"/>
  <c r="I156" i="6"/>
  <c r="N156" i="6"/>
  <c r="Q156" i="6"/>
  <c r="J137" i="6"/>
  <c r="N137" i="6" s="1"/>
  <c r="P137" i="6" s="1"/>
  <c r="K105" i="6"/>
  <c r="O105" i="6" s="1"/>
  <c r="R96" i="6"/>
  <c r="O96" i="6"/>
  <c r="I167" i="6"/>
  <c r="Q167" i="6"/>
  <c r="S167" i="6" s="1"/>
  <c r="V167" i="6" s="1"/>
  <c r="W168" i="5" s="1"/>
  <c r="Y168" i="5" s="1"/>
  <c r="N167" i="6"/>
  <c r="K21" i="6"/>
  <c r="O21" i="6" s="1"/>
  <c r="Q2" i="6"/>
  <c r="S2" i="6" s="1"/>
  <c r="I2" i="6"/>
  <c r="N2" i="6"/>
  <c r="P2" i="6" s="1"/>
  <c r="T2" i="6" s="1"/>
  <c r="K51" i="6"/>
  <c r="N40" i="6"/>
  <c r="P40" i="6" s="1"/>
  <c r="T40" i="6" s="1"/>
  <c r="I40" i="6"/>
  <c r="Q40" i="6"/>
  <c r="S40" i="6" s="1"/>
  <c r="J89" i="6"/>
  <c r="K91" i="6"/>
  <c r="O91" i="6" s="1"/>
  <c r="O153" i="6"/>
  <c r="R153" i="6"/>
  <c r="S102" i="6"/>
  <c r="Q141" i="6"/>
  <c r="S141" i="6" s="1"/>
  <c r="V141" i="6" s="1"/>
  <c r="W142" i="5" s="1"/>
  <c r="Y142" i="5" s="1"/>
  <c r="N141" i="6"/>
  <c r="I141" i="6"/>
  <c r="Q136" i="6"/>
  <c r="I136" i="6"/>
  <c r="N136" i="6"/>
  <c r="Q88" i="6"/>
  <c r="I88" i="6"/>
  <c r="N88" i="6"/>
  <c r="R44" i="6"/>
  <c r="O44" i="6"/>
  <c r="Q139" i="6"/>
  <c r="I139" i="6"/>
  <c r="N139" i="6"/>
  <c r="R110" i="6"/>
  <c r="O110" i="6"/>
  <c r="N100" i="6"/>
  <c r="Q100" i="6"/>
  <c r="S100" i="6" s="1"/>
  <c r="I100" i="6"/>
  <c r="K170" i="6"/>
  <c r="O170" i="6" s="1"/>
  <c r="K11" i="6"/>
  <c r="O11" i="6" s="1"/>
  <c r="K26" i="6"/>
  <c r="O26" i="6" s="1"/>
  <c r="R5" i="6"/>
  <c r="O5" i="6"/>
  <c r="Q13" i="6"/>
  <c r="N13" i="6"/>
  <c r="I13" i="6"/>
  <c r="N161" i="6"/>
  <c r="P161" i="6" s="1"/>
  <c r="I161" i="6"/>
  <c r="Q161" i="6"/>
  <c r="S161" i="6" s="1"/>
  <c r="V161" i="6" s="1"/>
  <c r="W162" i="5" s="1"/>
  <c r="Y162" i="5" s="1"/>
  <c r="Q19" i="6"/>
  <c r="S19" i="6" s="1"/>
  <c r="N19" i="6"/>
  <c r="I19" i="6"/>
  <c r="R39" i="6"/>
  <c r="O39" i="6"/>
  <c r="R63" i="6"/>
  <c r="O63" i="6"/>
  <c r="K74" i="6"/>
  <c r="O74" i="6" s="1"/>
  <c r="R4" i="6"/>
  <c r="O4" i="6"/>
  <c r="Q39" i="6"/>
  <c r="S39" i="6" s="1"/>
  <c r="I39" i="6"/>
  <c r="N39" i="6"/>
  <c r="P39" i="6" s="1"/>
  <c r="T39" i="6" s="1"/>
  <c r="Q36" i="6"/>
  <c r="N36" i="6"/>
  <c r="I36" i="6"/>
  <c r="R38" i="6"/>
  <c r="O38" i="6"/>
  <c r="Q69" i="6"/>
  <c r="S69" i="6" s="1"/>
  <c r="N69" i="6"/>
  <c r="I69" i="6"/>
  <c r="J91" i="6"/>
  <c r="N91" i="6" s="1"/>
  <c r="Q98" i="6"/>
  <c r="N98" i="6"/>
  <c r="I98" i="6"/>
  <c r="Q128" i="6"/>
  <c r="S128" i="6" s="1"/>
  <c r="V128" i="6" s="1"/>
  <c r="W129" i="5" s="1"/>
  <c r="Y129" i="5" s="1"/>
  <c r="I128" i="6"/>
  <c r="N128" i="6"/>
  <c r="P128" i="6" s="1"/>
  <c r="N119" i="6"/>
  <c r="Q119" i="6"/>
  <c r="I119" i="6"/>
  <c r="S87" i="6"/>
  <c r="S146" i="6"/>
  <c r="V146" i="6" s="1"/>
  <c r="W147" i="5" s="1"/>
  <c r="R147" i="6"/>
  <c r="O147" i="6"/>
  <c r="J144" i="6"/>
  <c r="K92" i="6"/>
  <c r="O92" i="6" s="1"/>
  <c r="R85" i="6"/>
  <c r="O85" i="6"/>
  <c r="R75" i="6"/>
  <c r="O75" i="6"/>
  <c r="Q158" i="6"/>
  <c r="S158" i="6" s="1"/>
  <c r="V158" i="6" s="1"/>
  <c r="W159" i="5" s="1"/>
  <c r="Y159" i="5" s="1"/>
  <c r="N158" i="6"/>
  <c r="P158" i="6" s="1"/>
  <c r="I158" i="6"/>
  <c r="K172" i="6"/>
  <c r="O172" i="6" s="1"/>
  <c r="K29" i="6"/>
  <c r="R46" i="6"/>
  <c r="O46" i="6"/>
  <c r="J60" i="6"/>
  <c r="N60" i="6" s="1"/>
  <c r="R62" i="6"/>
  <c r="S62" i="6" s="1"/>
  <c r="O62" i="6"/>
  <c r="P62" i="6" s="1"/>
  <c r="T62" i="6" s="1"/>
  <c r="I62" i="6"/>
  <c r="R76" i="6"/>
  <c r="O76" i="6"/>
  <c r="R95" i="6"/>
  <c r="S95" i="6" s="1"/>
  <c r="O95" i="6"/>
  <c r="P95" i="6" s="1"/>
  <c r="T95" i="6" s="1"/>
  <c r="I95" i="6"/>
  <c r="K134" i="6"/>
  <c r="O134" i="6" s="1"/>
  <c r="R83" i="6"/>
  <c r="O83" i="6"/>
  <c r="S166" i="6"/>
  <c r="V166" i="6" s="1"/>
  <c r="W167" i="5" s="1"/>
  <c r="Y167" i="5" s="1"/>
  <c r="R136" i="6"/>
  <c r="I105" i="6"/>
  <c r="Q105" i="6"/>
  <c r="S105" i="6" s="1"/>
  <c r="N105" i="6"/>
  <c r="Q85" i="6"/>
  <c r="N85" i="6"/>
  <c r="I85" i="6"/>
  <c r="Y123" i="5"/>
  <c r="R14" i="6"/>
  <c r="R71" i="6"/>
  <c r="O71" i="6"/>
  <c r="Q70" i="6"/>
  <c r="I70" i="6"/>
  <c r="N70" i="6"/>
  <c r="P70" i="6" s="1"/>
  <c r="T70" i="6" s="1"/>
  <c r="Q86" i="6"/>
  <c r="N86" i="6"/>
  <c r="I86" i="6"/>
  <c r="Q130" i="6"/>
  <c r="S130" i="6" s="1"/>
  <c r="V130" i="6" s="1"/>
  <c r="W131" i="5" s="1"/>
  <c r="Y131" i="5" s="1"/>
  <c r="N130" i="6"/>
  <c r="I130" i="6"/>
  <c r="Q111" i="6"/>
  <c r="S111" i="6" s="1"/>
  <c r="N111" i="6"/>
  <c r="I111" i="6"/>
  <c r="R132" i="6"/>
  <c r="O132" i="6"/>
  <c r="R121" i="6"/>
  <c r="Q75" i="6"/>
  <c r="S75" i="6" s="1"/>
  <c r="I75" i="6"/>
  <c r="N75" i="6"/>
  <c r="P75" i="6" s="1"/>
  <c r="T75" i="6" s="1"/>
  <c r="Q29" i="6"/>
  <c r="S29" i="6" s="1"/>
  <c r="I29" i="6"/>
  <c r="N29" i="6"/>
  <c r="P29" i="6" s="1"/>
  <c r="T29" i="6" s="1"/>
  <c r="Q53" i="6"/>
  <c r="S53" i="6" s="1"/>
  <c r="I53" i="6"/>
  <c r="N53" i="6"/>
  <c r="R119" i="6"/>
  <c r="O119" i="6"/>
  <c r="Q67" i="6"/>
  <c r="S67" i="6" s="1"/>
  <c r="I67" i="6"/>
  <c r="Q103" i="6"/>
  <c r="S103" i="6" s="1"/>
  <c r="I103" i="6"/>
  <c r="N103" i="6"/>
  <c r="R173" i="6"/>
  <c r="O173" i="6"/>
  <c r="Q26" i="6"/>
  <c r="S26" i="6" s="1"/>
  <c r="N26" i="6"/>
  <c r="I26" i="6"/>
  <c r="Q46" i="6"/>
  <c r="S46" i="6" s="1"/>
  <c r="I46" i="6"/>
  <c r="N46" i="6"/>
  <c r="P46" i="6" s="1"/>
  <c r="T46" i="6" s="1"/>
  <c r="I66" i="6"/>
  <c r="Q66" i="6"/>
  <c r="S66" i="6" s="1"/>
  <c r="N66" i="6"/>
  <c r="P66" i="6" s="1"/>
  <c r="T66" i="6" s="1"/>
  <c r="Q92" i="6"/>
  <c r="S92" i="6" s="1"/>
  <c r="N92" i="6"/>
  <c r="I92" i="6"/>
  <c r="Q30" i="6"/>
  <c r="S30" i="6" s="1"/>
  <c r="N30" i="6"/>
  <c r="P30" i="6" s="1"/>
  <c r="T30" i="6" s="1"/>
  <c r="I30" i="6"/>
  <c r="R100" i="6"/>
  <c r="R37" i="6"/>
  <c r="S37" i="6" s="1"/>
  <c r="O37" i="6"/>
  <c r="P37" i="6" s="1"/>
  <c r="T37" i="6" s="1"/>
  <c r="Q127" i="6"/>
  <c r="N127" i="6"/>
  <c r="I127" i="6"/>
  <c r="S154" i="6"/>
  <c r="V154" i="6" s="1"/>
  <c r="W155" i="5" s="1"/>
  <c r="Y155" i="5" s="1"/>
  <c r="S79" i="6"/>
  <c r="Q151" i="6"/>
  <c r="I151" i="6"/>
  <c r="N151" i="6"/>
  <c r="Q147" i="6"/>
  <c r="I147" i="6"/>
  <c r="N147" i="6"/>
  <c r="P147" i="6" s="1"/>
  <c r="R106" i="6"/>
  <c r="S106" i="6" s="1"/>
  <c r="I106" i="6"/>
  <c r="O106" i="6"/>
  <c r="P106" i="6" s="1"/>
  <c r="T106" i="6" s="1"/>
  <c r="Q152" i="6"/>
  <c r="S152" i="6" s="1"/>
  <c r="V152" i="6" s="1"/>
  <c r="W153" i="5" s="1"/>
  <c r="Y153" i="5" s="1"/>
  <c r="L153" i="12" s="1"/>
  <c r="Z153" i="5" s="1"/>
  <c r="AA153" i="5" s="1"/>
  <c r="N152" i="6"/>
  <c r="P152" i="6" s="1"/>
  <c r="I152" i="6"/>
  <c r="Q148" i="6"/>
  <c r="S148" i="6" s="1"/>
  <c r="V148" i="6" s="1"/>
  <c r="W149" i="5" s="1"/>
  <c r="Y149" i="5" s="1"/>
  <c r="N148" i="6"/>
  <c r="P148" i="6" s="1"/>
  <c r="I148" i="6"/>
  <c r="K136" i="6"/>
  <c r="O136" i="6" s="1"/>
  <c r="R127" i="6"/>
  <c r="O127" i="6"/>
  <c r="J105" i="6"/>
  <c r="Q101" i="6"/>
  <c r="N101" i="6"/>
  <c r="I101" i="6"/>
  <c r="K166" i="6"/>
  <c r="O166" i="6" s="1"/>
  <c r="P166" i="6" s="1"/>
  <c r="R9" i="6"/>
  <c r="O9" i="6"/>
  <c r="R13" i="6"/>
  <c r="O13" i="6"/>
  <c r="K14" i="6"/>
  <c r="O14" i="6" s="1"/>
  <c r="Q17" i="6"/>
  <c r="S17" i="6" s="1"/>
  <c r="I17" i="6"/>
  <c r="N17" i="6"/>
  <c r="Q35" i="6"/>
  <c r="S35" i="6" s="1"/>
  <c r="N35" i="6"/>
  <c r="P35" i="6" s="1"/>
  <c r="T35" i="6" s="1"/>
  <c r="I35" i="6"/>
  <c r="Q56" i="6"/>
  <c r="N56" i="6"/>
  <c r="I56" i="6"/>
  <c r="R17" i="6"/>
  <c r="O17" i="6"/>
  <c r="K60" i="6"/>
  <c r="O60" i="6" s="1"/>
  <c r="Q74" i="6"/>
  <c r="S74" i="6" s="1"/>
  <c r="N74" i="6"/>
  <c r="I74" i="6"/>
  <c r="J94" i="6"/>
  <c r="K20" i="6"/>
  <c r="O20" i="6" s="1"/>
  <c r="R28" i="6"/>
  <c r="O28" i="6"/>
  <c r="R156" i="6"/>
  <c r="O156" i="6"/>
  <c r="N153" i="6"/>
  <c r="P153" i="6" s="1"/>
  <c r="Q153" i="6"/>
  <c r="S153" i="6" s="1"/>
  <c r="V153" i="6" s="1"/>
  <c r="W154" i="5" s="1"/>
  <c r="Y154" i="5" s="1"/>
  <c r="L154" i="12" s="1"/>
  <c r="Z154" i="5" s="1"/>
  <c r="AA154" i="5" s="1"/>
  <c r="I153" i="6"/>
  <c r="J149" i="6"/>
  <c r="N149" i="6" s="1"/>
  <c r="Q134" i="6"/>
  <c r="S134" i="6" s="1"/>
  <c r="V134" i="6" s="1"/>
  <c r="W135" i="5" s="1"/>
  <c r="Y135" i="5" s="1"/>
  <c r="N134" i="6"/>
  <c r="I134" i="6"/>
  <c r="R125" i="6"/>
  <c r="O125" i="6"/>
  <c r="J114" i="6"/>
  <c r="R97" i="6"/>
  <c r="O97" i="6"/>
  <c r="Q93" i="6"/>
  <c r="S93" i="6" s="1"/>
  <c r="N93" i="6"/>
  <c r="P93" i="6" s="1"/>
  <c r="T93" i="6" s="1"/>
  <c r="I93" i="6"/>
  <c r="K167" i="6"/>
  <c r="O167" i="6" s="1"/>
  <c r="J59" i="6"/>
  <c r="K32" i="6"/>
  <c r="R55" i="6"/>
  <c r="O55" i="6"/>
  <c r="K19" i="6"/>
  <c r="O19" i="6" s="1"/>
  <c r="R80" i="6"/>
  <c r="O80" i="6"/>
  <c r="R98" i="6"/>
  <c r="O98" i="6"/>
  <c r="K130" i="6"/>
  <c r="O130" i="6" s="1"/>
  <c r="K111" i="6"/>
  <c r="O111" i="6" s="1"/>
  <c r="I37" i="6"/>
  <c r="S131" i="6"/>
  <c r="V131" i="6" s="1"/>
  <c r="W132" i="5" s="1"/>
  <c r="Y132" i="5" s="1"/>
  <c r="K53" i="6"/>
  <c r="O53" i="6" s="1"/>
  <c r="K155" i="6"/>
  <c r="O155" i="6" s="1"/>
  <c r="K142" i="6"/>
  <c r="O142" i="6" s="1"/>
  <c r="R139" i="6"/>
  <c r="O139" i="6"/>
  <c r="K121" i="6"/>
  <c r="O121" i="6" s="1"/>
  <c r="R94" i="6"/>
  <c r="O94" i="6"/>
  <c r="K82" i="6"/>
  <c r="J5" i="6"/>
  <c r="N5" i="6" s="1"/>
  <c r="P5" i="6" s="1"/>
  <c r="T5" i="6" s="1"/>
  <c r="J7" i="6"/>
  <c r="Q11" i="6"/>
  <c r="S11" i="6" s="1"/>
  <c r="I11" i="6"/>
  <c r="N11" i="6"/>
  <c r="J23" i="6"/>
  <c r="R171" i="6"/>
  <c r="O171" i="6"/>
  <c r="R25" i="6"/>
  <c r="O25" i="6"/>
  <c r="Q43" i="6"/>
  <c r="S43" i="6" s="1"/>
  <c r="N43" i="6"/>
  <c r="I43" i="6"/>
  <c r="R56" i="6"/>
  <c r="O56" i="6"/>
  <c r="Q3" i="6"/>
  <c r="S3" i="6" s="1"/>
  <c r="N3" i="6"/>
  <c r="P3" i="6" s="1"/>
  <c r="T3" i="6" s="1"/>
  <c r="I3" i="6"/>
  <c r="K23" i="6"/>
  <c r="R34" i="6"/>
  <c r="O34" i="6"/>
  <c r="Q68" i="6"/>
  <c r="S68" i="6" s="1"/>
  <c r="N68" i="6"/>
  <c r="P68" i="6" s="1"/>
  <c r="T68" i="6" s="1"/>
  <c r="I68" i="6"/>
  <c r="R86" i="6"/>
  <c r="O86" i="6"/>
  <c r="J38" i="6"/>
  <c r="N38" i="6" s="1"/>
  <c r="P38" i="6" s="1"/>
  <c r="T38" i="6" s="1"/>
  <c r="Q41" i="6"/>
  <c r="S41" i="6" s="1"/>
  <c r="N41" i="6"/>
  <c r="P41" i="6" s="1"/>
  <c r="T41" i="6" s="1"/>
  <c r="I41" i="6"/>
  <c r="Q49" i="6"/>
  <c r="S49" i="6" s="1"/>
  <c r="I49" i="6"/>
  <c r="N49" i="6"/>
  <c r="J58" i="6"/>
  <c r="R84" i="6"/>
  <c r="O84" i="6"/>
  <c r="Q140" i="6"/>
  <c r="S140" i="6" s="1"/>
  <c r="V140" i="6" s="1"/>
  <c r="W141" i="5" s="1"/>
  <c r="Y141" i="5" s="1"/>
  <c r="N140" i="6"/>
  <c r="P140" i="6" s="1"/>
  <c r="I140" i="6"/>
  <c r="J117" i="6"/>
  <c r="N117" i="6" s="1"/>
  <c r="P117" i="6" s="1"/>
  <c r="O101" i="6"/>
  <c r="R101" i="6"/>
  <c r="J82" i="6"/>
  <c r="K144" i="6"/>
  <c r="O144" i="6" s="1"/>
  <c r="Q110" i="6"/>
  <c r="S110" i="6" s="1"/>
  <c r="I110" i="6"/>
  <c r="N110" i="6"/>
  <c r="P110" i="6" s="1"/>
  <c r="T110" i="6" s="1"/>
  <c r="J6" i="6"/>
  <c r="N6" i="6" s="1"/>
  <c r="P6" i="6" s="1"/>
  <c r="T6" i="6" s="1"/>
  <c r="K40" i="6"/>
  <c r="R61" i="6"/>
  <c r="O61" i="6"/>
  <c r="K52" i="6"/>
  <c r="O52" i="6" s="1"/>
  <c r="J67" i="6"/>
  <c r="N67" i="6" s="1"/>
  <c r="P67" i="6" s="1"/>
  <c r="T67" i="6" s="1"/>
  <c r="R73" i="6"/>
  <c r="O73" i="6"/>
  <c r="K107" i="6"/>
  <c r="O107" i="6" s="1"/>
  <c r="S120" i="6"/>
  <c r="V120" i="6" s="1"/>
  <c r="W121" i="5" s="1"/>
  <c r="Y121" i="5" s="1"/>
  <c r="R157" i="6"/>
  <c r="S157" i="6" s="1"/>
  <c r="V157" i="6" s="1"/>
  <c r="W158" i="5" s="1"/>
  <c r="Y158" i="5" s="1"/>
  <c r="O157" i="6"/>
  <c r="P157" i="6" s="1"/>
  <c r="I157" i="6"/>
  <c r="Q121" i="6"/>
  <c r="S121" i="6" s="1"/>
  <c r="V121" i="6" s="1"/>
  <c r="W122" i="5" s="1"/>
  <c r="Y122" i="5" s="1"/>
  <c r="N121" i="6"/>
  <c r="I121" i="6"/>
  <c r="J121" i="6"/>
  <c r="J103" i="6"/>
  <c r="Q97" i="6"/>
  <c r="S97" i="6" s="1"/>
  <c r="N97" i="6"/>
  <c r="I97" i="6"/>
  <c r="V51" i="5"/>
  <c r="R50" i="8"/>
  <c r="K133" i="6"/>
  <c r="O133" i="6" s="1"/>
  <c r="K129" i="6"/>
  <c r="O129" i="6" s="1"/>
  <c r="J125" i="6"/>
  <c r="J107" i="6"/>
  <c r="K103" i="6"/>
  <c r="O103" i="6" s="1"/>
  <c r="Q72" i="6"/>
  <c r="S72" i="6" s="1"/>
  <c r="N72" i="6"/>
  <c r="I72" i="6"/>
  <c r="Q28" i="6"/>
  <c r="I28" i="6"/>
  <c r="N28" i="6"/>
  <c r="P28" i="6" s="1"/>
  <c r="T28" i="6" s="1"/>
  <c r="Y147" i="5"/>
  <c r="I165" i="6"/>
  <c r="Q165" i="6"/>
  <c r="S165" i="6" s="1"/>
  <c r="V165" i="6" s="1"/>
  <c r="W166" i="5" s="1"/>
  <c r="Y166" i="5" s="1"/>
  <c r="N165" i="6"/>
  <c r="Q15" i="6"/>
  <c r="S15" i="6" s="1"/>
  <c r="I15" i="6"/>
  <c r="N15" i="6"/>
  <c r="P15" i="6" s="1"/>
  <c r="T15" i="6" s="1"/>
  <c r="K165" i="6"/>
  <c r="O165" i="6" s="1"/>
  <c r="K16" i="6"/>
  <c r="J26" i="6"/>
  <c r="K43" i="6"/>
  <c r="O43" i="6" s="1"/>
  <c r="Q61" i="6"/>
  <c r="S61" i="6" s="1"/>
  <c r="N61" i="6"/>
  <c r="P61" i="6" s="1"/>
  <c r="T61" i="6" s="1"/>
  <c r="I61" i="6"/>
  <c r="K66" i="6"/>
  <c r="R78" i="6"/>
  <c r="O78" i="6"/>
  <c r="J66" i="6"/>
  <c r="J83" i="6"/>
  <c r="N96" i="6"/>
  <c r="P96" i="6" s="1"/>
  <c r="T96" i="6" s="1"/>
  <c r="I96" i="6"/>
  <c r="Q96" i="6"/>
  <c r="S96" i="6" s="1"/>
  <c r="J30" i="6"/>
  <c r="R54" i="6"/>
  <c r="O54" i="6"/>
  <c r="J76" i="6"/>
  <c r="N76" i="6" s="1"/>
  <c r="P76" i="6" s="1"/>
  <c r="T76" i="6" s="1"/>
  <c r="Q80" i="6"/>
  <c r="S80" i="6" s="1"/>
  <c r="N80" i="6"/>
  <c r="P80" i="6" s="1"/>
  <c r="T80" i="6" s="1"/>
  <c r="I80" i="6"/>
  <c r="K122" i="6"/>
  <c r="O122" i="6" s="1"/>
  <c r="K100" i="6"/>
  <c r="O100" i="6" s="1"/>
  <c r="K79" i="6"/>
  <c r="O79" i="6" s="1"/>
  <c r="P79" i="6" s="1"/>
  <c r="T79" i="6" s="1"/>
  <c r="I57" i="6"/>
  <c r="R151" i="6"/>
  <c r="O151" i="6"/>
  <c r="Q124" i="6"/>
  <c r="S124" i="6" s="1"/>
  <c r="V124" i="6" s="1"/>
  <c r="W125" i="5" s="1"/>
  <c r="Y125" i="5" s="1"/>
  <c r="N124" i="6"/>
  <c r="P124" i="6" s="1"/>
  <c r="I124" i="6"/>
  <c r="R115" i="6"/>
  <c r="O115" i="6"/>
  <c r="J33" i="6"/>
  <c r="N33" i="6" s="1"/>
  <c r="P33" i="6" s="1"/>
  <c r="T33" i="6" s="1"/>
  <c r="K116" i="6"/>
  <c r="O116" i="6" s="1"/>
  <c r="R113" i="6"/>
  <c r="O113" i="6"/>
  <c r="Q9" i="6"/>
  <c r="S9" i="6" s="1"/>
  <c r="I9" i="6"/>
  <c r="N9" i="6"/>
  <c r="P9" i="6" s="1"/>
  <c r="T9" i="6" s="1"/>
  <c r="Q24" i="6"/>
  <c r="S24" i="6" s="1"/>
  <c r="I24" i="6"/>
  <c r="N24" i="6"/>
  <c r="P24" i="6" s="1"/>
  <c r="T24" i="6" s="1"/>
  <c r="Q10" i="6"/>
  <c r="S10" i="6" s="1"/>
  <c r="N10" i="6"/>
  <c r="P10" i="6" s="1"/>
  <c r="T10" i="6" s="1"/>
  <c r="I10" i="6"/>
  <c r="J71" i="6"/>
  <c r="N71" i="6" s="1"/>
  <c r="P71" i="6" s="1"/>
  <c r="T71" i="6" s="1"/>
  <c r="R36" i="6"/>
  <c r="O36" i="6"/>
  <c r="K49" i="6"/>
  <c r="O49" i="6" s="1"/>
  <c r="Q77" i="6"/>
  <c r="S77" i="6" s="1"/>
  <c r="N77" i="6"/>
  <c r="P77" i="6" s="1"/>
  <c r="T77" i="6" s="1"/>
  <c r="I77" i="6"/>
  <c r="R27" i="6"/>
  <c r="O27" i="6"/>
  <c r="Q52" i="6"/>
  <c r="S52" i="6" s="1"/>
  <c r="N52" i="6"/>
  <c r="I52" i="6"/>
  <c r="K69" i="6"/>
  <c r="O69" i="6" s="1"/>
  <c r="R88" i="6"/>
  <c r="O88" i="6"/>
  <c r="K149" i="6"/>
  <c r="O149" i="6" s="1"/>
  <c r="Q104" i="6"/>
  <c r="S104" i="6" s="1"/>
  <c r="I104" i="6"/>
  <c r="N104" i="6"/>
  <c r="P104" i="6" s="1"/>
  <c r="T104" i="6" s="1"/>
  <c r="V23" i="5"/>
  <c r="R22" i="8"/>
  <c r="L164" i="12"/>
  <c r="Z164" i="5" s="1"/>
  <c r="AA164" i="5"/>
  <c r="G2" i="10"/>
  <c r="G3" i="10"/>
  <c r="G4" i="10"/>
  <c r="H4" i="10" s="1"/>
  <c r="G5" i="10"/>
  <c r="H5" i="10" s="1"/>
  <c r="G6" i="10"/>
  <c r="H6" i="10" s="1"/>
  <c r="G7" i="10"/>
  <c r="H7" i="10" s="1"/>
  <c r="G8" i="10"/>
  <c r="H8" i="10" s="1"/>
  <c r="G9" i="10"/>
  <c r="H9" i="10" s="1"/>
  <c r="G10" i="10"/>
  <c r="H10" i="10" s="1"/>
  <c r="G11" i="10"/>
  <c r="H11" i="10" s="1"/>
  <c r="G12" i="10"/>
  <c r="H12" i="10" s="1"/>
  <c r="G13" i="10"/>
  <c r="H13" i="10" s="1"/>
  <c r="G14" i="10"/>
  <c r="H14" i="10" s="1"/>
  <c r="G15" i="10"/>
  <c r="H15" i="10" s="1"/>
  <c r="G16" i="10"/>
  <c r="H16" i="10" s="1"/>
  <c r="G17" i="10"/>
  <c r="H17" i="10" s="1"/>
  <c r="G18" i="10"/>
  <c r="H18" i="10" s="1"/>
  <c r="G19" i="10"/>
  <c r="H19" i="10" s="1"/>
  <c r="G20" i="10"/>
  <c r="H20" i="10" s="1"/>
  <c r="G21" i="10"/>
  <c r="H21" i="10" s="1"/>
  <c r="G22" i="10"/>
  <c r="H22" i="10" s="1"/>
  <c r="G23" i="10"/>
  <c r="H23" i="10" s="1"/>
  <c r="G24" i="10"/>
  <c r="H24" i="10" s="1"/>
  <c r="G25" i="10"/>
  <c r="H25" i="10" s="1"/>
  <c r="G26" i="10"/>
  <c r="H26" i="10" s="1"/>
  <c r="G27" i="10"/>
  <c r="H27" i="10" s="1"/>
  <c r="G28" i="10"/>
  <c r="H28" i="10" s="1"/>
  <c r="G29" i="10"/>
  <c r="H29" i="10" s="1"/>
  <c r="G30" i="10"/>
  <c r="H30" i="10" s="1"/>
  <c r="G31" i="10"/>
  <c r="H31" i="10" s="1"/>
  <c r="G32" i="10"/>
  <c r="H32" i="10" s="1"/>
  <c r="G33" i="10"/>
  <c r="H33" i="10" s="1"/>
  <c r="G34" i="10"/>
  <c r="H34" i="10" s="1"/>
  <c r="G35" i="10"/>
  <c r="H35" i="10" s="1"/>
  <c r="G36" i="10"/>
  <c r="H36" i="10" s="1"/>
  <c r="G37" i="10"/>
  <c r="H37" i="10" s="1"/>
  <c r="G38" i="10"/>
  <c r="H38" i="10" s="1"/>
  <c r="G39" i="10"/>
  <c r="H39" i="10" s="1"/>
  <c r="G40" i="10"/>
  <c r="H40" i="10" s="1"/>
  <c r="G41" i="10"/>
  <c r="H41" i="10" s="1"/>
  <c r="G43" i="10"/>
  <c r="H43" i="10" s="1"/>
  <c r="G44" i="10"/>
  <c r="H44" i="10" s="1"/>
  <c r="G45" i="10"/>
  <c r="H45" i="10" s="1"/>
  <c r="G46" i="10"/>
  <c r="H46" i="10" s="1"/>
  <c r="G47" i="10"/>
  <c r="H47" i="10" s="1"/>
  <c r="G48" i="10"/>
  <c r="H48" i="10" s="1"/>
  <c r="G49" i="10"/>
  <c r="H49" i="10" s="1"/>
  <c r="G50" i="10"/>
  <c r="H50" i="10" s="1"/>
  <c r="G51" i="10"/>
  <c r="H51" i="10" s="1"/>
  <c r="G52" i="10"/>
  <c r="H52" i="10" s="1"/>
  <c r="G53" i="10"/>
  <c r="H53" i="10" s="1"/>
  <c r="G54" i="10"/>
  <c r="H54" i="10" s="1"/>
  <c r="G55" i="10"/>
  <c r="H55" i="10" s="1"/>
  <c r="G56" i="10"/>
  <c r="H56" i="10" s="1"/>
  <c r="G57" i="10"/>
  <c r="H57" i="10" s="1"/>
  <c r="G58" i="10"/>
  <c r="H58" i="10" s="1"/>
  <c r="G59" i="10"/>
  <c r="H59" i="10" s="1"/>
  <c r="G60" i="10"/>
  <c r="H60" i="10" s="1"/>
  <c r="G61" i="10"/>
  <c r="H61" i="10" s="1"/>
  <c r="G62" i="10"/>
  <c r="H62" i="10" s="1"/>
  <c r="G63" i="10"/>
  <c r="H63" i="10" s="1"/>
  <c r="G64" i="10"/>
  <c r="H64" i="10" s="1"/>
  <c r="G65" i="10"/>
  <c r="H65" i="10" s="1"/>
  <c r="G66" i="10"/>
  <c r="H66" i="10" s="1"/>
  <c r="G67" i="10"/>
  <c r="H67" i="10" s="1"/>
  <c r="G68" i="10"/>
  <c r="H68" i="10" s="1"/>
  <c r="G69" i="10"/>
  <c r="H69" i="10" s="1"/>
  <c r="G70" i="10"/>
  <c r="H70" i="10" s="1"/>
  <c r="G71" i="10"/>
  <c r="H71" i="10" s="1"/>
  <c r="G72" i="10"/>
  <c r="H72" i="10" s="1"/>
  <c r="G73" i="10"/>
  <c r="H73" i="10" s="1"/>
  <c r="G74" i="10"/>
  <c r="H74" i="10" s="1"/>
  <c r="G75" i="10"/>
  <c r="H75" i="10" s="1"/>
  <c r="G76" i="10"/>
  <c r="H76" i="10" s="1"/>
  <c r="G77" i="10"/>
  <c r="H77" i="10" s="1"/>
  <c r="G78" i="10"/>
  <c r="H78" i="10" s="1"/>
  <c r="G79" i="10"/>
  <c r="H79" i="10" s="1"/>
  <c r="G80" i="10"/>
  <c r="H80" i="10" s="1"/>
  <c r="G81" i="10"/>
  <c r="H81" i="10" s="1"/>
  <c r="G82" i="10"/>
  <c r="H82" i="10" s="1"/>
  <c r="G83" i="10"/>
  <c r="H83" i="10" s="1"/>
  <c r="G84" i="10"/>
  <c r="H84" i="10" s="1"/>
  <c r="G85" i="10"/>
  <c r="H85" i="10" s="1"/>
  <c r="G86" i="10"/>
  <c r="H86" i="10" s="1"/>
  <c r="G87" i="10"/>
  <c r="H87" i="10" s="1"/>
  <c r="G88" i="10"/>
  <c r="H88" i="10" s="1"/>
  <c r="G89" i="10"/>
  <c r="H89" i="10" s="1"/>
  <c r="G90" i="10"/>
  <c r="H90" i="10" s="1"/>
  <c r="G91" i="10"/>
  <c r="H91" i="10" s="1"/>
  <c r="G92" i="10"/>
  <c r="H92" i="10" s="1"/>
  <c r="G94" i="10"/>
  <c r="H94" i="10" s="1"/>
  <c r="G96" i="10"/>
  <c r="H96" i="10" s="1"/>
  <c r="G98" i="10"/>
  <c r="H98" i="10" s="1"/>
  <c r="G100" i="10"/>
  <c r="H100" i="10" s="1"/>
  <c r="G102" i="10"/>
  <c r="H102" i="10" s="1"/>
  <c r="G104" i="10"/>
  <c r="H104" i="10" s="1"/>
  <c r="G106" i="10"/>
  <c r="H106" i="10" s="1"/>
  <c r="G108" i="10"/>
  <c r="H108" i="10" s="1"/>
  <c r="G110" i="10"/>
  <c r="H110" i="10" s="1"/>
  <c r="G112" i="10"/>
  <c r="H112" i="10" s="1"/>
  <c r="G114" i="10"/>
  <c r="H114" i="10" s="1"/>
  <c r="G116" i="10"/>
  <c r="H116" i="10" s="1"/>
  <c r="G93" i="10"/>
  <c r="H93" i="10" s="1"/>
  <c r="G95" i="10"/>
  <c r="H95" i="10" s="1"/>
  <c r="G97" i="10"/>
  <c r="H97" i="10" s="1"/>
  <c r="G99" i="10"/>
  <c r="H99" i="10" s="1"/>
  <c r="G101" i="10"/>
  <c r="H101" i="10" s="1"/>
  <c r="G103" i="10"/>
  <c r="H103" i="10" s="1"/>
  <c r="G105" i="10"/>
  <c r="H105" i="10" s="1"/>
  <c r="G107" i="10"/>
  <c r="H107" i="10" s="1"/>
  <c r="G109" i="10"/>
  <c r="H109" i="10" s="1"/>
  <c r="G111" i="10"/>
  <c r="H111" i="10" s="1"/>
  <c r="G113" i="10"/>
  <c r="H113" i="10" s="1"/>
  <c r="G115" i="10"/>
  <c r="H115" i="10" s="1"/>
  <c r="L168" i="12"/>
  <c r="Z168" i="5" s="1"/>
  <c r="AA168" i="5" s="1"/>
  <c r="G42" i="10"/>
  <c r="H42" i="10" s="1"/>
  <c r="AD177" i="5"/>
  <c r="AE43" i="5"/>
  <c r="AE177" i="5" s="1"/>
  <c r="T177" i="5"/>
  <c r="L142" i="12" l="1"/>
  <c r="Z142" i="5" s="1"/>
  <c r="AA142" i="5" s="1"/>
  <c r="U57" i="6"/>
  <c r="V57" i="6"/>
  <c r="W58" i="5" s="1"/>
  <c r="L132" i="12"/>
  <c r="Z132" i="5" s="1"/>
  <c r="AA132" i="5" s="1"/>
  <c r="L135" i="12"/>
  <c r="Z135" i="5" s="1"/>
  <c r="AA135" i="5" s="1"/>
  <c r="U37" i="6"/>
  <c r="V37" i="6"/>
  <c r="W38" i="5" s="1"/>
  <c r="P91" i="6"/>
  <c r="T91" i="6" s="1"/>
  <c r="AA119" i="5"/>
  <c r="L119" i="12"/>
  <c r="Z119" i="5" s="1"/>
  <c r="L160" i="12"/>
  <c r="Z160" i="5" s="1"/>
  <c r="AA160" i="5" s="1"/>
  <c r="P149" i="6"/>
  <c r="P60" i="6"/>
  <c r="T60" i="6" s="1"/>
  <c r="L146" i="12"/>
  <c r="Z146" i="5" s="1"/>
  <c r="AA146" i="5" s="1"/>
  <c r="L144" i="12"/>
  <c r="Z144" i="5" s="1"/>
  <c r="AA144" i="5" s="1"/>
  <c r="V42" i="6"/>
  <c r="W43" i="5" s="1"/>
  <c r="U42" i="6"/>
  <c r="L155" i="12"/>
  <c r="Z155" i="5" s="1"/>
  <c r="AA155" i="5" s="1"/>
  <c r="L131" i="12"/>
  <c r="Z131" i="5" s="1"/>
  <c r="AA131" i="5" s="1"/>
  <c r="L129" i="12"/>
  <c r="Z129" i="5" s="1"/>
  <c r="AA129" i="5" s="1"/>
  <c r="L125" i="12"/>
  <c r="Z125" i="5" s="1"/>
  <c r="AA125" i="5"/>
  <c r="L122" i="12"/>
  <c r="Z122" i="5" s="1"/>
  <c r="AA122" i="5" s="1"/>
  <c r="L121" i="12"/>
  <c r="Z121" i="5" s="1"/>
  <c r="AA121" i="5" s="1"/>
  <c r="L141" i="12"/>
  <c r="Z141" i="5" s="1"/>
  <c r="AA141" i="5" s="1"/>
  <c r="L162" i="12"/>
  <c r="Z162" i="5" s="1"/>
  <c r="AA162" i="5" s="1"/>
  <c r="L136" i="12"/>
  <c r="Z136" i="5" s="1"/>
  <c r="AA136" i="5" s="1"/>
  <c r="U61" i="6"/>
  <c r="V61" i="6"/>
  <c r="W62" i="5" s="1"/>
  <c r="U68" i="6"/>
  <c r="V68" i="6"/>
  <c r="W69" i="5" s="1"/>
  <c r="U74" i="6"/>
  <c r="V74" i="6"/>
  <c r="W75" i="5" s="1"/>
  <c r="U17" i="6"/>
  <c r="V17" i="6"/>
  <c r="W18" i="5" s="1"/>
  <c r="U92" i="6"/>
  <c r="V92" i="6"/>
  <c r="W93" i="5" s="1"/>
  <c r="P26" i="6"/>
  <c r="T26" i="6" s="1"/>
  <c r="P103" i="6"/>
  <c r="T103" i="6" s="1"/>
  <c r="P53" i="6"/>
  <c r="T53" i="6" s="1"/>
  <c r="P111" i="6"/>
  <c r="T111" i="6" s="1"/>
  <c r="U105" i="6"/>
  <c r="V105" i="6"/>
  <c r="W106" i="5" s="1"/>
  <c r="L167" i="12"/>
  <c r="Z167" i="5" s="1"/>
  <c r="AA167" i="5" s="1"/>
  <c r="L159" i="12"/>
  <c r="Z159" i="5" s="1"/>
  <c r="AA159" i="5" s="1"/>
  <c r="S119" i="6"/>
  <c r="V119" i="6" s="1"/>
  <c r="W120" i="5" s="1"/>
  <c r="Y120" i="5" s="1"/>
  <c r="S36" i="6"/>
  <c r="P19" i="6"/>
  <c r="T19" i="6" s="1"/>
  <c r="S13" i="6"/>
  <c r="U100" i="6"/>
  <c r="V100" i="6"/>
  <c r="W101" i="5" s="1"/>
  <c r="P139" i="6"/>
  <c r="P136" i="6"/>
  <c r="P141" i="6"/>
  <c r="U14" i="6"/>
  <c r="V14" i="6"/>
  <c r="W15" i="5" s="1"/>
  <c r="P63" i="6"/>
  <c r="T63" i="6" s="1"/>
  <c r="S84" i="6"/>
  <c r="U12" i="6"/>
  <c r="V12" i="6"/>
  <c r="W13" i="5" s="1"/>
  <c r="L175" i="12"/>
  <c r="Z175" i="5" s="1"/>
  <c r="AA175" i="5" s="1"/>
  <c r="S78" i="6"/>
  <c r="P27" i="6"/>
  <c r="T27" i="6" s="1"/>
  <c r="P169" i="6"/>
  <c r="P113" i="6"/>
  <c r="T113" i="6" s="1"/>
  <c r="P20" i="6"/>
  <c r="T20" i="6" s="1"/>
  <c r="U33" i="6"/>
  <c r="V33" i="6"/>
  <c r="W34" i="5" s="1"/>
  <c r="S55" i="6"/>
  <c r="P16" i="6"/>
  <c r="T16" i="6" s="1"/>
  <c r="S107" i="6"/>
  <c r="S125" i="6"/>
  <c r="V125" i="6" s="1"/>
  <c r="W126" i="5" s="1"/>
  <c r="Y126" i="5" s="1"/>
  <c r="P142" i="6"/>
  <c r="U112" i="6"/>
  <c r="V112" i="6"/>
  <c r="W113" i="5" s="1"/>
  <c r="L127" i="12"/>
  <c r="Z127" i="5" s="1"/>
  <c r="AA127" i="5" s="1"/>
  <c r="S117" i="6"/>
  <c r="V117" i="6" s="1"/>
  <c r="W118" i="5" s="1"/>
  <c r="Y118" i="5" s="1"/>
  <c r="L118" i="12" s="1"/>
  <c r="Z118" i="5" s="1"/>
  <c r="AA118" i="5" s="1"/>
  <c r="P58" i="6"/>
  <c r="T58" i="6" s="1"/>
  <c r="P54" i="6"/>
  <c r="T54" i="6" s="1"/>
  <c r="S99" i="6"/>
  <c r="U50" i="6"/>
  <c r="V50" i="6"/>
  <c r="W51" i="5" s="1"/>
  <c r="U23" i="6"/>
  <c r="V23" i="6"/>
  <c r="W24" i="5" s="1"/>
  <c r="U109" i="6"/>
  <c r="V109" i="6"/>
  <c r="W110" i="5" s="1"/>
  <c r="U114" i="6"/>
  <c r="V114" i="6"/>
  <c r="W115" i="5" s="1"/>
  <c r="S34" i="6"/>
  <c r="P25" i="6"/>
  <c r="T25" i="6" s="1"/>
  <c r="P155" i="6"/>
  <c r="S60" i="6"/>
  <c r="P173" i="6"/>
  <c r="S38" i="6"/>
  <c r="P7" i="6"/>
  <c r="T7" i="6" s="1"/>
  <c r="P165" i="6"/>
  <c r="U52" i="6"/>
  <c r="V52" i="6"/>
  <c r="W53" i="5" s="1"/>
  <c r="U10" i="6"/>
  <c r="V10" i="6"/>
  <c r="W11" i="5" s="1"/>
  <c r="U80" i="6"/>
  <c r="V80" i="6"/>
  <c r="W81" i="5" s="1"/>
  <c r="L166" i="12"/>
  <c r="Z166" i="5" s="1"/>
  <c r="AA166" i="5" s="1"/>
  <c r="U72" i="6"/>
  <c r="V72" i="6"/>
  <c r="W73" i="5" s="1"/>
  <c r="U110" i="6"/>
  <c r="V110" i="6"/>
  <c r="W111" i="5" s="1"/>
  <c r="P49" i="6"/>
  <c r="T49" i="6" s="1"/>
  <c r="P11" i="6"/>
  <c r="T11" i="6" s="1"/>
  <c r="P56" i="6"/>
  <c r="T56" i="6" s="1"/>
  <c r="U35" i="6"/>
  <c r="V35" i="6"/>
  <c r="W36" i="5" s="1"/>
  <c r="P101" i="6"/>
  <c r="T101" i="6" s="1"/>
  <c r="L149" i="12"/>
  <c r="Z149" i="5" s="1"/>
  <c r="AA149" i="5" s="1"/>
  <c r="S151" i="6"/>
  <c r="V151" i="6" s="1"/>
  <c r="W152" i="5" s="1"/>
  <c r="Y152" i="5" s="1"/>
  <c r="P127" i="6"/>
  <c r="U30" i="6"/>
  <c r="V30" i="6"/>
  <c r="W31" i="5" s="1"/>
  <c r="U26" i="6"/>
  <c r="V26" i="6"/>
  <c r="W27" i="5" s="1"/>
  <c r="U67" i="6"/>
  <c r="V67" i="6"/>
  <c r="W68" i="5" s="1"/>
  <c r="U29" i="6"/>
  <c r="V29" i="6"/>
  <c r="W30" i="5" s="1"/>
  <c r="U75" i="6"/>
  <c r="V75" i="6"/>
  <c r="W76" i="5" s="1"/>
  <c r="U111" i="6"/>
  <c r="V111" i="6"/>
  <c r="W112" i="5" s="1"/>
  <c r="P85" i="6"/>
  <c r="T85" i="6" s="1"/>
  <c r="P119" i="6"/>
  <c r="U19" i="6"/>
  <c r="V19" i="6"/>
  <c r="W20" i="5" s="1"/>
  <c r="P100" i="6"/>
  <c r="T100" i="6" s="1"/>
  <c r="P88" i="6"/>
  <c r="T88" i="6" s="1"/>
  <c r="U2" i="6"/>
  <c r="V2" i="6"/>
  <c r="W3" i="5" s="1"/>
  <c r="P172" i="6"/>
  <c r="P164" i="6"/>
  <c r="U81" i="6"/>
  <c r="V81" i="6"/>
  <c r="W82" i="5" s="1"/>
  <c r="P145" i="6"/>
  <c r="P18" i="6"/>
  <c r="T18" i="6" s="1"/>
  <c r="V177" i="5"/>
  <c r="U45" i="6"/>
  <c r="V45" i="6"/>
  <c r="W46" i="5" s="1"/>
  <c r="U64" i="6"/>
  <c r="V64" i="6"/>
  <c r="W65" i="5" s="1"/>
  <c r="S5" i="6"/>
  <c r="S44" i="6"/>
  <c r="P163" i="6"/>
  <c r="S169" i="6"/>
  <c r="V169" i="6" s="1"/>
  <c r="W170" i="5" s="1"/>
  <c r="Y170" i="5" s="1"/>
  <c r="S113" i="6"/>
  <c r="U20" i="6"/>
  <c r="V20" i="6"/>
  <c r="W21" i="5" s="1"/>
  <c r="P73" i="6"/>
  <c r="T73" i="6" s="1"/>
  <c r="P83" i="6"/>
  <c r="T83" i="6" s="1"/>
  <c r="U8" i="6"/>
  <c r="V8" i="6"/>
  <c r="W9" i="5" s="1"/>
  <c r="P107" i="6"/>
  <c r="T107" i="6" s="1"/>
  <c r="S142" i="6"/>
  <c r="V142" i="6" s="1"/>
  <c r="W143" i="5" s="1"/>
  <c r="Y143" i="5" s="1"/>
  <c r="S6" i="6"/>
  <c r="U82" i="6"/>
  <c r="V82" i="6"/>
  <c r="W83" i="5" s="1"/>
  <c r="S54" i="6"/>
  <c r="P171" i="6"/>
  <c r="P129" i="6"/>
  <c r="S170" i="6"/>
  <c r="V170" i="6" s="1"/>
  <c r="W171" i="5" s="1"/>
  <c r="Y171" i="5" s="1"/>
  <c r="U59" i="6"/>
  <c r="V59" i="6"/>
  <c r="W60" i="5" s="1"/>
  <c r="S25" i="6"/>
  <c r="P115" i="6"/>
  <c r="T115" i="6" s="1"/>
  <c r="S155" i="6"/>
  <c r="V155" i="6" s="1"/>
  <c r="W156" i="5" s="1"/>
  <c r="Y156" i="5" s="1"/>
  <c r="S91" i="6"/>
  <c r="S173" i="6"/>
  <c r="V173" i="6" s="1"/>
  <c r="W174" i="5" s="1"/>
  <c r="Y174" i="5" s="1"/>
  <c r="L174" i="12" s="1"/>
  <c r="Z174" i="5" s="1"/>
  <c r="AA174" i="5" s="1"/>
  <c r="S137" i="6"/>
  <c r="V137" i="6" s="1"/>
  <c r="W138" i="5" s="1"/>
  <c r="Y138" i="5" s="1"/>
  <c r="U7" i="6"/>
  <c r="V7" i="6"/>
  <c r="W8" i="5" s="1"/>
  <c r="P52" i="6"/>
  <c r="T52" i="6" s="1"/>
  <c r="U24" i="6"/>
  <c r="V24" i="6"/>
  <c r="W25" i="5" s="1"/>
  <c r="P72" i="6"/>
  <c r="T72" i="6" s="1"/>
  <c r="U104" i="6"/>
  <c r="V104" i="6"/>
  <c r="W105" i="5" s="1"/>
  <c r="U77" i="6"/>
  <c r="V77" i="6"/>
  <c r="W78" i="5" s="1"/>
  <c r="U96" i="6"/>
  <c r="V96" i="6"/>
  <c r="W97" i="5" s="1"/>
  <c r="S28" i="6"/>
  <c r="P97" i="6"/>
  <c r="T97" i="6" s="1"/>
  <c r="U41" i="6"/>
  <c r="V41" i="6"/>
  <c r="W42" i="5" s="1"/>
  <c r="U3" i="6"/>
  <c r="V3" i="6"/>
  <c r="W4" i="5" s="1"/>
  <c r="P43" i="6"/>
  <c r="T43" i="6" s="1"/>
  <c r="P134" i="6"/>
  <c r="S56" i="6"/>
  <c r="P17" i="6"/>
  <c r="T17" i="6" s="1"/>
  <c r="S101" i="6"/>
  <c r="S147" i="6"/>
  <c r="V147" i="6" s="1"/>
  <c r="W148" i="5" s="1"/>
  <c r="Y148" i="5" s="1"/>
  <c r="U79" i="6"/>
  <c r="V79" i="6"/>
  <c r="W80" i="5" s="1"/>
  <c r="S127" i="6"/>
  <c r="V127" i="6" s="1"/>
  <c r="W128" i="5" s="1"/>
  <c r="Y128" i="5" s="1"/>
  <c r="U66" i="6"/>
  <c r="V66" i="6"/>
  <c r="W67" i="5" s="1"/>
  <c r="U46" i="6"/>
  <c r="V46" i="6"/>
  <c r="W47" i="5" s="1"/>
  <c r="U103" i="6"/>
  <c r="V103" i="6"/>
  <c r="W104" i="5" s="1"/>
  <c r="U53" i="6"/>
  <c r="V53" i="6"/>
  <c r="W54" i="5" s="1"/>
  <c r="P86" i="6"/>
  <c r="T86" i="6" s="1"/>
  <c r="S70" i="6"/>
  <c r="S85" i="6"/>
  <c r="U95" i="6"/>
  <c r="V95" i="6"/>
  <c r="W96" i="5" s="1"/>
  <c r="U87" i="6"/>
  <c r="V87" i="6"/>
  <c r="W88" i="5" s="1"/>
  <c r="P98" i="6"/>
  <c r="T98" i="6" s="1"/>
  <c r="P69" i="6"/>
  <c r="T69" i="6" s="1"/>
  <c r="S139" i="6"/>
  <c r="V139" i="6" s="1"/>
  <c r="W140" i="5" s="1"/>
  <c r="Y140" i="5" s="1"/>
  <c r="S136" i="6"/>
  <c r="V136" i="6" s="1"/>
  <c r="W137" i="5" s="1"/>
  <c r="Y137" i="5" s="1"/>
  <c r="U102" i="6"/>
  <c r="V102" i="6"/>
  <c r="W103" i="5" s="1"/>
  <c r="S156" i="6"/>
  <c r="V156" i="6" s="1"/>
  <c r="W157" i="5" s="1"/>
  <c r="Y157" i="5" s="1"/>
  <c r="L157" i="12" s="1"/>
  <c r="Z157" i="5" s="1"/>
  <c r="AA157" i="5" s="1"/>
  <c r="U32" i="6"/>
  <c r="V32" i="6"/>
  <c r="W33" i="5" s="1"/>
  <c r="S48" i="6"/>
  <c r="P14" i="6"/>
  <c r="T14" i="6" s="1"/>
  <c r="S164" i="6"/>
  <c r="V164" i="6" s="1"/>
  <c r="W165" i="5" s="1"/>
  <c r="Y165" i="5" s="1"/>
  <c r="L165" i="12" s="1"/>
  <c r="Z165" i="5" s="1"/>
  <c r="AA165" i="5" s="1"/>
  <c r="L124" i="12"/>
  <c r="Z124" i="5" s="1"/>
  <c r="AA124" i="5" s="1"/>
  <c r="P84" i="6"/>
  <c r="T84" i="6" s="1"/>
  <c r="U65" i="6"/>
  <c r="V65" i="6"/>
  <c r="W66" i="5" s="1"/>
  <c r="P116" i="6"/>
  <c r="T116" i="6" s="1"/>
  <c r="S76" i="6"/>
  <c r="U89" i="6"/>
  <c r="V89" i="6"/>
  <c r="W90" i="5" s="1"/>
  <c r="S27" i="6"/>
  <c r="U90" i="6"/>
  <c r="V90" i="6"/>
  <c r="W91" i="5" s="1"/>
  <c r="S71" i="6"/>
  <c r="P133" i="6"/>
  <c r="P144" i="6"/>
  <c r="S73" i="6"/>
  <c r="S16" i="6"/>
  <c r="P125" i="6"/>
  <c r="P159" i="6"/>
  <c r="U58" i="6"/>
  <c r="V58" i="6"/>
  <c r="W59" i="5" s="1"/>
  <c r="P99" i="6"/>
  <c r="T99" i="6" s="1"/>
  <c r="P21" i="6"/>
  <c r="T21" i="6" s="1"/>
  <c r="P23" i="6"/>
  <c r="T23" i="6" s="1"/>
  <c r="S171" i="6"/>
  <c r="V171" i="6" s="1"/>
  <c r="W172" i="5" s="1"/>
  <c r="Y172" i="5" s="1"/>
  <c r="P22" i="6"/>
  <c r="T22" i="6" s="1"/>
  <c r="P170" i="6"/>
  <c r="P162" i="6"/>
  <c r="P4" i="6"/>
  <c r="T4" i="6" s="1"/>
  <c r="S115" i="6"/>
  <c r="U108" i="6"/>
  <c r="V108" i="6"/>
  <c r="W109" i="5" s="1"/>
  <c r="S160" i="6"/>
  <c r="V160" i="6" s="1"/>
  <c r="W161" i="5" s="1"/>
  <c r="Y161" i="5" s="1"/>
  <c r="S31" i="6"/>
  <c r="P94" i="6"/>
  <c r="T94" i="6" s="1"/>
  <c r="U9" i="6"/>
  <c r="V9" i="6"/>
  <c r="W10" i="5" s="1"/>
  <c r="U15" i="6"/>
  <c r="V15" i="6"/>
  <c r="W16" i="5" s="1"/>
  <c r="L147" i="12"/>
  <c r="Z147" i="5" s="1"/>
  <c r="AA147" i="5" s="1"/>
  <c r="U97" i="6"/>
  <c r="V97" i="6"/>
  <c r="W98" i="5" s="1"/>
  <c r="P121" i="6"/>
  <c r="L158" i="12"/>
  <c r="Z158" i="5" s="1"/>
  <c r="AA158" i="5" s="1"/>
  <c r="U49" i="6"/>
  <c r="V49" i="6"/>
  <c r="W50" i="5" s="1"/>
  <c r="U43" i="6"/>
  <c r="V43" i="6"/>
  <c r="W44" i="5" s="1"/>
  <c r="U11" i="6"/>
  <c r="V11" i="6"/>
  <c r="W12" i="5" s="1"/>
  <c r="U93" i="6"/>
  <c r="V93" i="6"/>
  <c r="W94" i="5" s="1"/>
  <c r="P74" i="6"/>
  <c r="T74" i="6" s="1"/>
  <c r="U106" i="6"/>
  <c r="V106" i="6"/>
  <c r="W107" i="5" s="1"/>
  <c r="P151" i="6"/>
  <c r="P92" i="6"/>
  <c r="T92" i="6" s="1"/>
  <c r="P130" i="6"/>
  <c r="S86" i="6"/>
  <c r="L123" i="12"/>
  <c r="Z123" i="5" s="1"/>
  <c r="AA123" i="5"/>
  <c r="P105" i="6"/>
  <c r="T105" i="6" s="1"/>
  <c r="U62" i="6"/>
  <c r="V62" i="6"/>
  <c r="W63" i="5" s="1"/>
  <c r="S98" i="6"/>
  <c r="U69" i="6"/>
  <c r="V69" i="6"/>
  <c r="W70" i="5" s="1"/>
  <c r="P36" i="6"/>
  <c r="T36" i="6" s="1"/>
  <c r="U39" i="6"/>
  <c r="V39" i="6"/>
  <c r="W40" i="5" s="1"/>
  <c r="P13" i="6"/>
  <c r="T13" i="6" s="1"/>
  <c r="S88" i="6"/>
  <c r="U40" i="6"/>
  <c r="V40" i="6"/>
  <c r="W41" i="5" s="1"/>
  <c r="P167" i="6"/>
  <c r="P156" i="6"/>
  <c r="S63" i="6"/>
  <c r="U47" i="6"/>
  <c r="V47" i="6"/>
  <c r="W48" i="5" s="1"/>
  <c r="L163" i="12"/>
  <c r="Z163" i="5" s="1"/>
  <c r="AA163" i="5" s="1"/>
  <c r="P122" i="6"/>
  <c r="P12" i="6"/>
  <c r="T12" i="6" s="1"/>
  <c r="S18" i="6"/>
  <c r="U116" i="6"/>
  <c r="V116" i="6"/>
  <c r="W117" i="5" s="1"/>
  <c r="S144" i="6"/>
  <c r="V144" i="6" s="1"/>
  <c r="W145" i="5" s="1"/>
  <c r="Y145" i="5" s="1"/>
  <c r="L145" i="12" s="1"/>
  <c r="Z145" i="5" s="1"/>
  <c r="AA145" i="5" s="1"/>
  <c r="S83" i="6"/>
  <c r="P55" i="6"/>
  <c r="T55" i="6" s="1"/>
  <c r="U51" i="6"/>
  <c r="V51" i="6"/>
  <c r="W52" i="5" s="1"/>
  <c r="U21" i="6"/>
  <c r="V21" i="6"/>
  <c r="W22" i="5" s="1"/>
  <c r="L130" i="12"/>
  <c r="Z130" i="5" s="1"/>
  <c r="AA130" i="5" s="1"/>
  <c r="S22" i="6"/>
  <c r="S149" i="6"/>
  <c r="V149" i="6" s="1"/>
  <c r="W150" i="5" s="1"/>
  <c r="Y150" i="5" s="1"/>
  <c r="P34" i="6"/>
  <c r="T34" i="6" s="1"/>
  <c r="S4" i="6"/>
  <c r="S132" i="6"/>
  <c r="V132" i="6" s="1"/>
  <c r="W133" i="5" s="1"/>
  <c r="Y133" i="5" s="1"/>
  <c r="S94" i="6"/>
  <c r="O103" i="10"/>
  <c r="P103" i="10" s="1"/>
  <c r="I103" i="10"/>
  <c r="J103" i="10" s="1"/>
  <c r="M103" i="10" s="1"/>
  <c r="U104" i="5" s="1"/>
  <c r="I95" i="10"/>
  <c r="J95" i="10" s="1"/>
  <c r="M95" i="10" s="1"/>
  <c r="U96" i="5" s="1"/>
  <c r="O95" i="10"/>
  <c r="P95" i="10" s="1"/>
  <c r="I112" i="10"/>
  <c r="J112" i="10" s="1"/>
  <c r="M112" i="10" s="1"/>
  <c r="U113" i="5" s="1"/>
  <c r="O112" i="10"/>
  <c r="P112" i="10" s="1"/>
  <c r="I104" i="10"/>
  <c r="J104" i="10" s="1"/>
  <c r="M104" i="10" s="1"/>
  <c r="U105" i="5" s="1"/>
  <c r="O104" i="10"/>
  <c r="P104" i="10" s="1"/>
  <c r="I96" i="10"/>
  <c r="J96" i="10" s="1"/>
  <c r="M96" i="10" s="1"/>
  <c r="U97" i="5" s="1"/>
  <c r="O96" i="10"/>
  <c r="P96" i="10" s="1"/>
  <c r="I90" i="10"/>
  <c r="J90" i="10" s="1"/>
  <c r="M90" i="10" s="1"/>
  <c r="U91" i="5" s="1"/>
  <c r="O90" i="10"/>
  <c r="P90" i="10" s="1"/>
  <c r="I86" i="10"/>
  <c r="J86" i="10" s="1"/>
  <c r="M86" i="10" s="1"/>
  <c r="U87" i="5" s="1"/>
  <c r="O86" i="10"/>
  <c r="P86" i="10" s="1"/>
  <c r="I82" i="10"/>
  <c r="J82" i="10" s="1"/>
  <c r="M82" i="10" s="1"/>
  <c r="U83" i="5" s="1"/>
  <c r="O82" i="10"/>
  <c r="P82" i="10" s="1"/>
  <c r="I74" i="10"/>
  <c r="J74" i="10" s="1"/>
  <c r="M74" i="10" s="1"/>
  <c r="U75" i="5" s="1"/>
  <c r="O74" i="10"/>
  <c r="P74" i="10" s="1"/>
  <c r="I70" i="10"/>
  <c r="J70" i="10" s="1"/>
  <c r="M70" i="10" s="1"/>
  <c r="U71" i="5" s="1"/>
  <c r="O70" i="10"/>
  <c r="P70" i="10" s="1"/>
  <c r="I66" i="10"/>
  <c r="J66" i="10" s="1"/>
  <c r="M66" i="10" s="1"/>
  <c r="U67" i="5" s="1"/>
  <c r="O66" i="10"/>
  <c r="P66" i="10" s="1"/>
  <c r="I62" i="10"/>
  <c r="J62" i="10" s="1"/>
  <c r="M62" i="10" s="1"/>
  <c r="U63" i="5" s="1"/>
  <c r="O62" i="10"/>
  <c r="P62" i="10" s="1"/>
  <c r="I58" i="10"/>
  <c r="J58" i="10" s="1"/>
  <c r="M58" i="10" s="1"/>
  <c r="U59" i="5" s="1"/>
  <c r="O58" i="10"/>
  <c r="P58" i="10" s="1"/>
  <c r="I54" i="10"/>
  <c r="J54" i="10" s="1"/>
  <c r="M54" i="10" s="1"/>
  <c r="U55" i="5" s="1"/>
  <c r="O54" i="10"/>
  <c r="P54" i="10" s="1"/>
  <c r="I50" i="10"/>
  <c r="J50" i="10" s="1"/>
  <c r="M50" i="10" s="1"/>
  <c r="U51" i="5" s="1"/>
  <c r="O50" i="10"/>
  <c r="P50" i="10" s="1"/>
  <c r="I46" i="10"/>
  <c r="J46" i="10" s="1"/>
  <c r="M46" i="10" s="1"/>
  <c r="U47" i="5" s="1"/>
  <c r="O46" i="10"/>
  <c r="P46" i="10" s="1"/>
  <c r="I41" i="10"/>
  <c r="J41" i="10" s="1"/>
  <c r="M41" i="10" s="1"/>
  <c r="U42" i="5" s="1"/>
  <c r="O41" i="10"/>
  <c r="P41" i="10" s="1"/>
  <c r="I37" i="10"/>
  <c r="J37" i="10" s="1"/>
  <c r="M37" i="10" s="1"/>
  <c r="U38" i="5" s="1"/>
  <c r="O37" i="10"/>
  <c r="P37" i="10" s="1"/>
  <c r="O33" i="10"/>
  <c r="P33" i="10" s="1"/>
  <c r="I33" i="10"/>
  <c r="J33" i="10" s="1"/>
  <c r="M33" i="10" s="1"/>
  <c r="U34" i="5" s="1"/>
  <c r="O29" i="10"/>
  <c r="P29" i="10" s="1"/>
  <c r="I29" i="10"/>
  <c r="J29" i="10" s="1"/>
  <c r="M29" i="10" s="1"/>
  <c r="U30" i="5" s="1"/>
  <c r="I25" i="10"/>
  <c r="J25" i="10" s="1"/>
  <c r="M25" i="10" s="1"/>
  <c r="U26" i="5" s="1"/>
  <c r="O25" i="10"/>
  <c r="P25" i="10" s="1"/>
  <c r="I21" i="10"/>
  <c r="J21" i="10" s="1"/>
  <c r="M21" i="10" s="1"/>
  <c r="U22" i="5" s="1"/>
  <c r="O21" i="10"/>
  <c r="P21" i="10" s="1"/>
  <c r="O17" i="10"/>
  <c r="P17" i="10" s="1"/>
  <c r="I17" i="10"/>
  <c r="J17" i="10" s="1"/>
  <c r="M17" i="10" s="1"/>
  <c r="U18" i="5" s="1"/>
  <c r="O13" i="10"/>
  <c r="P13" i="10" s="1"/>
  <c r="I13" i="10"/>
  <c r="J13" i="10" s="1"/>
  <c r="M13" i="10" s="1"/>
  <c r="U14" i="5" s="1"/>
  <c r="O9" i="10"/>
  <c r="P9" i="10" s="1"/>
  <c r="I9" i="10"/>
  <c r="J9" i="10" s="1"/>
  <c r="M9" i="10" s="1"/>
  <c r="U10" i="5" s="1"/>
  <c r="I5" i="10"/>
  <c r="J5" i="10" s="1"/>
  <c r="M5" i="10" s="1"/>
  <c r="U6" i="5" s="1"/>
  <c r="O5" i="10"/>
  <c r="P5" i="10" s="1"/>
  <c r="O109" i="10"/>
  <c r="P109" i="10" s="1"/>
  <c r="I109" i="10"/>
  <c r="J109" i="10" s="1"/>
  <c r="M109" i="10" s="1"/>
  <c r="U110" i="5" s="1"/>
  <c r="O101" i="10"/>
  <c r="P101" i="10" s="1"/>
  <c r="I101" i="10"/>
  <c r="J101" i="10" s="1"/>
  <c r="M101" i="10" s="1"/>
  <c r="U102" i="5" s="1"/>
  <c r="O93" i="10"/>
  <c r="P93" i="10" s="1"/>
  <c r="I93" i="10"/>
  <c r="J93" i="10" s="1"/>
  <c r="M93" i="10" s="1"/>
  <c r="U94" i="5" s="1"/>
  <c r="I110" i="10"/>
  <c r="J110" i="10" s="1"/>
  <c r="M110" i="10" s="1"/>
  <c r="U111" i="5" s="1"/>
  <c r="O110" i="10"/>
  <c r="P110" i="10" s="1"/>
  <c r="I102" i="10"/>
  <c r="J102" i="10" s="1"/>
  <c r="M102" i="10" s="1"/>
  <c r="U103" i="5" s="1"/>
  <c r="O102" i="10"/>
  <c r="P102" i="10" s="1"/>
  <c r="I94" i="10"/>
  <c r="J94" i="10" s="1"/>
  <c r="M94" i="10" s="1"/>
  <c r="U95" i="5" s="1"/>
  <c r="O94" i="10"/>
  <c r="P94" i="10" s="1"/>
  <c r="I89" i="10"/>
  <c r="J89" i="10" s="1"/>
  <c r="M89" i="10" s="1"/>
  <c r="U90" i="5" s="1"/>
  <c r="O89" i="10"/>
  <c r="P89" i="10" s="1"/>
  <c r="I85" i="10"/>
  <c r="J85" i="10" s="1"/>
  <c r="M85" i="10" s="1"/>
  <c r="U86" i="5" s="1"/>
  <c r="O85" i="10"/>
  <c r="P85" i="10" s="1"/>
  <c r="I81" i="10"/>
  <c r="J81" i="10" s="1"/>
  <c r="M81" i="10" s="1"/>
  <c r="U82" i="5" s="1"/>
  <c r="O81" i="10"/>
  <c r="P81" i="10" s="1"/>
  <c r="I77" i="10"/>
  <c r="J77" i="10" s="1"/>
  <c r="M77" i="10" s="1"/>
  <c r="U78" i="5" s="1"/>
  <c r="O77" i="10"/>
  <c r="P77" i="10" s="1"/>
  <c r="I73" i="10"/>
  <c r="J73" i="10" s="1"/>
  <c r="M73" i="10" s="1"/>
  <c r="U74" i="5" s="1"/>
  <c r="O73" i="10"/>
  <c r="P73" i="10" s="1"/>
  <c r="I69" i="10"/>
  <c r="J69" i="10" s="1"/>
  <c r="M69" i="10" s="1"/>
  <c r="U70" i="5" s="1"/>
  <c r="O69" i="10"/>
  <c r="P69" i="10" s="1"/>
  <c r="I65" i="10"/>
  <c r="J65" i="10" s="1"/>
  <c r="M65" i="10" s="1"/>
  <c r="U66" i="5" s="1"/>
  <c r="O65" i="10"/>
  <c r="P65" i="10" s="1"/>
  <c r="I61" i="10"/>
  <c r="J61" i="10" s="1"/>
  <c r="M61" i="10" s="1"/>
  <c r="U62" i="5" s="1"/>
  <c r="O61" i="10"/>
  <c r="P61" i="10" s="1"/>
  <c r="I57" i="10"/>
  <c r="J57" i="10" s="1"/>
  <c r="M57" i="10" s="1"/>
  <c r="U58" i="5" s="1"/>
  <c r="O57" i="10"/>
  <c r="P57" i="10" s="1"/>
  <c r="I53" i="10"/>
  <c r="J53" i="10" s="1"/>
  <c r="M53" i="10" s="1"/>
  <c r="U54" i="5" s="1"/>
  <c r="O53" i="10"/>
  <c r="P53" i="10" s="1"/>
  <c r="I49" i="10"/>
  <c r="J49" i="10" s="1"/>
  <c r="M49" i="10" s="1"/>
  <c r="U50" i="5" s="1"/>
  <c r="O49" i="10"/>
  <c r="P49" i="10" s="1"/>
  <c r="I45" i="10"/>
  <c r="J45" i="10" s="1"/>
  <c r="M45" i="10" s="1"/>
  <c r="U46" i="5" s="1"/>
  <c r="O45" i="10"/>
  <c r="P45" i="10" s="1"/>
  <c r="O40" i="10"/>
  <c r="P40" i="10" s="1"/>
  <c r="I40" i="10"/>
  <c r="J40" i="10" s="1"/>
  <c r="M40" i="10" s="1"/>
  <c r="U41" i="5" s="1"/>
  <c r="I36" i="10"/>
  <c r="J36" i="10" s="1"/>
  <c r="M36" i="10" s="1"/>
  <c r="U37" i="5" s="1"/>
  <c r="O36" i="10"/>
  <c r="P36" i="10" s="1"/>
  <c r="I32" i="10"/>
  <c r="J32" i="10" s="1"/>
  <c r="M32" i="10" s="1"/>
  <c r="U33" i="5" s="1"/>
  <c r="O32" i="10"/>
  <c r="P32" i="10" s="1"/>
  <c r="I28" i="10"/>
  <c r="J28" i="10" s="1"/>
  <c r="M28" i="10" s="1"/>
  <c r="U29" i="5" s="1"/>
  <c r="O28" i="10"/>
  <c r="P28" i="10" s="1"/>
  <c r="I24" i="10"/>
  <c r="J24" i="10" s="1"/>
  <c r="M24" i="10" s="1"/>
  <c r="U25" i="5" s="1"/>
  <c r="O24" i="10"/>
  <c r="P24" i="10" s="1"/>
  <c r="O20" i="10"/>
  <c r="P20" i="10" s="1"/>
  <c r="I20" i="10"/>
  <c r="J20" i="10" s="1"/>
  <c r="M20" i="10" s="1"/>
  <c r="U21" i="5" s="1"/>
  <c r="I16" i="10"/>
  <c r="J16" i="10" s="1"/>
  <c r="M16" i="10" s="1"/>
  <c r="U17" i="5" s="1"/>
  <c r="O16" i="10"/>
  <c r="P16" i="10" s="1"/>
  <c r="O12" i="10"/>
  <c r="P12" i="10" s="1"/>
  <c r="I12" i="10"/>
  <c r="J12" i="10" s="1"/>
  <c r="M12" i="10" s="1"/>
  <c r="U13" i="5" s="1"/>
  <c r="I8" i="10"/>
  <c r="J8" i="10" s="1"/>
  <c r="M8" i="10" s="1"/>
  <c r="U9" i="5" s="1"/>
  <c r="O8" i="10"/>
  <c r="P8" i="10" s="1"/>
  <c r="I4" i="10"/>
  <c r="J4" i="10" s="1"/>
  <c r="M4" i="10" s="1"/>
  <c r="U5" i="5" s="1"/>
  <c r="O4" i="10"/>
  <c r="P4" i="10" s="1"/>
  <c r="I111" i="10"/>
  <c r="J111" i="10" s="1"/>
  <c r="M111" i="10" s="1"/>
  <c r="U112" i="5" s="1"/>
  <c r="O111" i="10"/>
  <c r="P111" i="10" s="1"/>
  <c r="O115" i="10"/>
  <c r="P115" i="10" s="1"/>
  <c r="I115" i="10"/>
  <c r="J115" i="10" s="1"/>
  <c r="M115" i="10" s="1"/>
  <c r="U116" i="5" s="1"/>
  <c r="I107" i="10"/>
  <c r="J107" i="10" s="1"/>
  <c r="M107" i="10" s="1"/>
  <c r="U108" i="5" s="1"/>
  <c r="O107" i="10"/>
  <c r="P107" i="10" s="1"/>
  <c r="I99" i="10"/>
  <c r="J99" i="10" s="1"/>
  <c r="M99" i="10" s="1"/>
  <c r="U100" i="5" s="1"/>
  <c r="O99" i="10"/>
  <c r="P99" i="10" s="1"/>
  <c r="I116" i="10"/>
  <c r="J116" i="10" s="1"/>
  <c r="M116" i="10" s="1"/>
  <c r="U117" i="5" s="1"/>
  <c r="O116" i="10"/>
  <c r="P116" i="10" s="1"/>
  <c r="I108" i="10"/>
  <c r="J108" i="10" s="1"/>
  <c r="M108" i="10" s="1"/>
  <c r="U109" i="5" s="1"/>
  <c r="O108" i="10"/>
  <c r="P108" i="10" s="1"/>
  <c r="I100" i="10"/>
  <c r="J100" i="10" s="1"/>
  <c r="M100" i="10" s="1"/>
  <c r="U101" i="5" s="1"/>
  <c r="O100" i="10"/>
  <c r="P100" i="10" s="1"/>
  <c r="I92" i="10"/>
  <c r="J92" i="10" s="1"/>
  <c r="M92" i="10" s="1"/>
  <c r="U93" i="5" s="1"/>
  <c r="O92" i="10"/>
  <c r="P92" i="10" s="1"/>
  <c r="I88" i="10"/>
  <c r="J88" i="10" s="1"/>
  <c r="M88" i="10" s="1"/>
  <c r="U89" i="5" s="1"/>
  <c r="O88" i="10"/>
  <c r="P88" i="10" s="1"/>
  <c r="I84" i="10"/>
  <c r="J84" i="10" s="1"/>
  <c r="M84" i="10" s="1"/>
  <c r="U85" i="5" s="1"/>
  <c r="O84" i="10"/>
  <c r="P84" i="10" s="1"/>
  <c r="I80" i="10"/>
  <c r="J80" i="10" s="1"/>
  <c r="M80" i="10" s="1"/>
  <c r="U81" i="5" s="1"/>
  <c r="O80" i="10"/>
  <c r="P80" i="10" s="1"/>
  <c r="I76" i="10"/>
  <c r="J76" i="10" s="1"/>
  <c r="M76" i="10" s="1"/>
  <c r="U77" i="5" s="1"/>
  <c r="O76" i="10"/>
  <c r="P76" i="10" s="1"/>
  <c r="I72" i="10"/>
  <c r="J72" i="10" s="1"/>
  <c r="M72" i="10" s="1"/>
  <c r="U73" i="5" s="1"/>
  <c r="O72" i="10"/>
  <c r="P72" i="10" s="1"/>
  <c r="I68" i="10"/>
  <c r="J68" i="10" s="1"/>
  <c r="M68" i="10" s="1"/>
  <c r="U69" i="5" s="1"/>
  <c r="O68" i="10"/>
  <c r="P68" i="10" s="1"/>
  <c r="I64" i="10"/>
  <c r="J64" i="10" s="1"/>
  <c r="M64" i="10" s="1"/>
  <c r="U65" i="5" s="1"/>
  <c r="O64" i="10"/>
  <c r="P64" i="10" s="1"/>
  <c r="I60" i="10"/>
  <c r="J60" i="10" s="1"/>
  <c r="M60" i="10" s="1"/>
  <c r="U61" i="5" s="1"/>
  <c r="O60" i="10"/>
  <c r="P60" i="10" s="1"/>
  <c r="I56" i="10"/>
  <c r="J56" i="10" s="1"/>
  <c r="M56" i="10" s="1"/>
  <c r="U57" i="5" s="1"/>
  <c r="O56" i="10"/>
  <c r="P56" i="10" s="1"/>
  <c r="I52" i="10"/>
  <c r="J52" i="10" s="1"/>
  <c r="M52" i="10" s="1"/>
  <c r="U53" i="5" s="1"/>
  <c r="O52" i="10"/>
  <c r="P52" i="10" s="1"/>
  <c r="I48" i="10"/>
  <c r="J48" i="10" s="1"/>
  <c r="M48" i="10" s="1"/>
  <c r="U49" i="5" s="1"/>
  <c r="O48" i="10"/>
  <c r="P48" i="10" s="1"/>
  <c r="I44" i="10"/>
  <c r="J44" i="10" s="1"/>
  <c r="M44" i="10" s="1"/>
  <c r="U45" i="5" s="1"/>
  <c r="O44" i="10"/>
  <c r="P44" i="10" s="1"/>
  <c r="O39" i="10"/>
  <c r="P39" i="10" s="1"/>
  <c r="I39" i="10"/>
  <c r="J39" i="10" s="1"/>
  <c r="M39" i="10" s="1"/>
  <c r="U40" i="5" s="1"/>
  <c r="O35" i="10"/>
  <c r="P35" i="10" s="1"/>
  <c r="I35" i="10"/>
  <c r="J35" i="10" s="1"/>
  <c r="M35" i="10" s="1"/>
  <c r="U36" i="5" s="1"/>
  <c r="I31" i="10"/>
  <c r="J31" i="10" s="1"/>
  <c r="M31" i="10" s="1"/>
  <c r="U32" i="5" s="1"/>
  <c r="O31" i="10"/>
  <c r="P31" i="10" s="1"/>
  <c r="O27" i="10"/>
  <c r="P27" i="10" s="1"/>
  <c r="I27" i="10"/>
  <c r="J27" i="10" s="1"/>
  <c r="M27" i="10" s="1"/>
  <c r="U28" i="5" s="1"/>
  <c r="I23" i="10"/>
  <c r="J23" i="10" s="1"/>
  <c r="M23" i="10" s="1"/>
  <c r="U24" i="5" s="1"/>
  <c r="O23" i="10"/>
  <c r="P23" i="10" s="1"/>
  <c r="O19" i="10"/>
  <c r="P19" i="10" s="1"/>
  <c r="I19" i="10"/>
  <c r="J19" i="10" s="1"/>
  <c r="M19" i="10" s="1"/>
  <c r="U20" i="5" s="1"/>
  <c r="O15" i="10"/>
  <c r="P15" i="10" s="1"/>
  <c r="I15" i="10"/>
  <c r="J15" i="10" s="1"/>
  <c r="M15" i="10" s="1"/>
  <c r="U16" i="5" s="1"/>
  <c r="I11" i="10"/>
  <c r="J11" i="10" s="1"/>
  <c r="M11" i="10" s="1"/>
  <c r="U12" i="5" s="1"/>
  <c r="O11" i="10"/>
  <c r="P11" i="10" s="1"/>
  <c r="O7" i="10"/>
  <c r="P7" i="10" s="1"/>
  <c r="I7" i="10"/>
  <c r="J7" i="10" s="1"/>
  <c r="M7" i="10" s="1"/>
  <c r="U8" i="5" s="1"/>
  <c r="H3" i="10"/>
  <c r="T12" i="10"/>
  <c r="T13" i="10" s="1"/>
  <c r="T14" i="10" s="1"/>
  <c r="I78" i="10"/>
  <c r="J78" i="10" s="1"/>
  <c r="M78" i="10" s="1"/>
  <c r="U79" i="5" s="1"/>
  <c r="O78" i="10"/>
  <c r="P78" i="10" s="1"/>
  <c r="I42" i="10"/>
  <c r="J42" i="10" s="1"/>
  <c r="M42" i="10" s="1"/>
  <c r="U43" i="5" s="1"/>
  <c r="O42" i="10"/>
  <c r="P42" i="10" s="1"/>
  <c r="O113" i="10"/>
  <c r="P113" i="10" s="1"/>
  <c r="I113" i="10"/>
  <c r="J113" i="10" s="1"/>
  <c r="M113" i="10" s="1"/>
  <c r="U114" i="5" s="1"/>
  <c r="O105" i="10"/>
  <c r="P105" i="10" s="1"/>
  <c r="I105" i="10"/>
  <c r="J105" i="10" s="1"/>
  <c r="M105" i="10" s="1"/>
  <c r="U106" i="5" s="1"/>
  <c r="O97" i="10"/>
  <c r="P97" i="10" s="1"/>
  <c r="I97" i="10"/>
  <c r="J97" i="10" s="1"/>
  <c r="M97" i="10" s="1"/>
  <c r="U98" i="5" s="1"/>
  <c r="I114" i="10"/>
  <c r="J114" i="10" s="1"/>
  <c r="M114" i="10" s="1"/>
  <c r="U115" i="5" s="1"/>
  <c r="O114" i="10"/>
  <c r="P114" i="10" s="1"/>
  <c r="I106" i="10"/>
  <c r="J106" i="10" s="1"/>
  <c r="M106" i="10" s="1"/>
  <c r="U107" i="5" s="1"/>
  <c r="O106" i="10"/>
  <c r="P106" i="10" s="1"/>
  <c r="I98" i="10"/>
  <c r="J98" i="10" s="1"/>
  <c r="M98" i="10" s="1"/>
  <c r="U99" i="5" s="1"/>
  <c r="O98" i="10"/>
  <c r="P98" i="10" s="1"/>
  <c r="I91" i="10"/>
  <c r="J91" i="10" s="1"/>
  <c r="M91" i="10" s="1"/>
  <c r="U92" i="5" s="1"/>
  <c r="O91" i="10"/>
  <c r="P91" i="10" s="1"/>
  <c r="I87" i="10"/>
  <c r="J87" i="10" s="1"/>
  <c r="M87" i="10" s="1"/>
  <c r="U88" i="5" s="1"/>
  <c r="O87" i="10"/>
  <c r="P87" i="10" s="1"/>
  <c r="I83" i="10"/>
  <c r="J83" i="10" s="1"/>
  <c r="M83" i="10" s="1"/>
  <c r="U84" i="5" s="1"/>
  <c r="O83" i="10"/>
  <c r="P83" i="10" s="1"/>
  <c r="I79" i="10"/>
  <c r="J79" i="10" s="1"/>
  <c r="M79" i="10" s="1"/>
  <c r="U80" i="5" s="1"/>
  <c r="O79" i="10"/>
  <c r="P79" i="10" s="1"/>
  <c r="I75" i="10"/>
  <c r="J75" i="10" s="1"/>
  <c r="M75" i="10" s="1"/>
  <c r="U76" i="5" s="1"/>
  <c r="O75" i="10"/>
  <c r="P75" i="10" s="1"/>
  <c r="I71" i="10"/>
  <c r="J71" i="10" s="1"/>
  <c r="M71" i="10" s="1"/>
  <c r="U72" i="5" s="1"/>
  <c r="O71" i="10"/>
  <c r="P71" i="10" s="1"/>
  <c r="I67" i="10"/>
  <c r="J67" i="10" s="1"/>
  <c r="M67" i="10" s="1"/>
  <c r="U68" i="5" s="1"/>
  <c r="O67" i="10"/>
  <c r="P67" i="10" s="1"/>
  <c r="I63" i="10"/>
  <c r="J63" i="10" s="1"/>
  <c r="M63" i="10" s="1"/>
  <c r="U64" i="5" s="1"/>
  <c r="O63" i="10"/>
  <c r="P63" i="10" s="1"/>
  <c r="I59" i="10"/>
  <c r="J59" i="10" s="1"/>
  <c r="M59" i="10" s="1"/>
  <c r="U60" i="5" s="1"/>
  <c r="O59" i="10"/>
  <c r="P59" i="10" s="1"/>
  <c r="I55" i="10"/>
  <c r="J55" i="10" s="1"/>
  <c r="M55" i="10" s="1"/>
  <c r="U56" i="5" s="1"/>
  <c r="O55" i="10"/>
  <c r="P55" i="10" s="1"/>
  <c r="I51" i="10"/>
  <c r="J51" i="10" s="1"/>
  <c r="M51" i="10" s="1"/>
  <c r="U52" i="5" s="1"/>
  <c r="O51" i="10"/>
  <c r="P51" i="10" s="1"/>
  <c r="I47" i="10"/>
  <c r="J47" i="10" s="1"/>
  <c r="M47" i="10" s="1"/>
  <c r="U48" i="5" s="1"/>
  <c r="O47" i="10"/>
  <c r="P47" i="10" s="1"/>
  <c r="I43" i="10"/>
  <c r="J43" i="10" s="1"/>
  <c r="M43" i="10" s="1"/>
  <c r="U44" i="5" s="1"/>
  <c r="O43" i="10"/>
  <c r="P43" i="10" s="1"/>
  <c r="O38" i="10"/>
  <c r="P38" i="10" s="1"/>
  <c r="I38" i="10"/>
  <c r="J38" i="10" s="1"/>
  <c r="M38" i="10" s="1"/>
  <c r="U39" i="5" s="1"/>
  <c r="O34" i="10"/>
  <c r="P34" i="10" s="1"/>
  <c r="I34" i="10"/>
  <c r="J34" i="10" s="1"/>
  <c r="M34" i="10" s="1"/>
  <c r="U35" i="5" s="1"/>
  <c r="O30" i="10"/>
  <c r="P30" i="10" s="1"/>
  <c r="I30" i="10"/>
  <c r="J30" i="10" s="1"/>
  <c r="M30" i="10" s="1"/>
  <c r="U31" i="5" s="1"/>
  <c r="O26" i="10"/>
  <c r="P26" i="10" s="1"/>
  <c r="I26" i="10"/>
  <c r="J26" i="10" s="1"/>
  <c r="M26" i="10" s="1"/>
  <c r="U27" i="5" s="1"/>
  <c r="I22" i="10"/>
  <c r="J22" i="10" s="1"/>
  <c r="M22" i="10" s="1"/>
  <c r="U23" i="5" s="1"/>
  <c r="O22" i="10"/>
  <c r="P22" i="10" s="1"/>
  <c r="O18" i="10"/>
  <c r="P18" i="10" s="1"/>
  <c r="I18" i="10"/>
  <c r="J18" i="10" s="1"/>
  <c r="M18" i="10" s="1"/>
  <c r="U19" i="5" s="1"/>
  <c r="I14" i="10"/>
  <c r="J14" i="10" s="1"/>
  <c r="M14" i="10" s="1"/>
  <c r="U15" i="5" s="1"/>
  <c r="O14" i="10"/>
  <c r="P14" i="10" s="1"/>
  <c r="I10" i="10"/>
  <c r="J10" i="10" s="1"/>
  <c r="M10" i="10" s="1"/>
  <c r="U11" i="5" s="1"/>
  <c r="O10" i="10"/>
  <c r="P10" i="10" s="1"/>
  <c r="O6" i="10"/>
  <c r="P6" i="10" s="1"/>
  <c r="I6" i="10"/>
  <c r="J6" i="10" s="1"/>
  <c r="M6" i="10" s="1"/>
  <c r="U7" i="5" s="1"/>
  <c r="H2" i="10"/>
  <c r="G122" i="10"/>
  <c r="G121" i="10"/>
  <c r="G120" i="10"/>
  <c r="U94" i="6" l="1"/>
  <c r="V94" i="6"/>
  <c r="W95" i="5" s="1"/>
  <c r="U63" i="6"/>
  <c r="V63" i="6"/>
  <c r="W64" i="5" s="1"/>
  <c r="Y64" i="5" s="1"/>
  <c r="U98" i="6"/>
  <c r="V98" i="6"/>
  <c r="W99" i="5" s="1"/>
  <c r="U76" i="6"/>
  <c r="V76" i="6"/>
  <c r="W77" i="5" s="1"/>
  <c r="L140" i="12"/>
  <c r="Z140" i="5" s="1"/>
  <c r="AA140" i="5" s="1"/>
  <c r="U70" i="6"/>
  <c r="V70" i="6"/>
  <c r="W71" i="5" s="1"/>
  <c r="Y71" i="5" s="1"/>
  <c r="U56" i="6"/>
  <c r="V56" i="6"/>
  <c r="W57" i="5" s="1"/>
  <c r="U28" i="6"/>
  <c r="V28" i="6"/>
  <c r="W29" i="5" s="1"/>
  <c r="L143" i="12"/>
  <c r="Z143" i="5" s="1"/>
  <c r="AA143" i="5" s="1"/>
  <c r="U113" i="6"/>
  <c r="V113" i="6"/>
  <c r="W114" i="5" s="1"/>
  <c r="Y114" i="5" s="1"/>
  <c r="U5" i="6"/>
  <c r="V5" i="6"/>
  <c r="W6" i="5" s="1"/>
  <c r="U38" i="6"/>
  <c r="V38" i="6"/>
  <c r="W39" i="5" s="1"/>
  <c r="U107" i="6"/>
  <c r="V107" i="6"/>
  <c r="W108" i="5" s="1"/>
  <c r="L133" i="12"/>
  <c r="Z133" i="5" s="1"/>
  <c r="AA133" i="5" s="1"/>
  <c r="U22" i="6"/>
  <c r="V22" i="6"/>
  <c r="W23" i="5" s="1"/>
  <c r="U83" i="6"/>
  <c r="V83" i="6"/>
  <c r="W84" i="5" s="1"/>
  <c r="Y84" i="5" s="1"/>
  <c r="U18" i="6"/>
  <c r="V18" i="6"/>
  <c r="W19" i="5" s="1"/>
  <c r="U88" i="6"/>
  <c r="V88" i="6"/>
  <c r="W89" i="5" s="1"/>
  <c r="U31" i="6"/>
  <c r="V31" i="6"/>
  <c r="W32" i="5" s="1"/>
  <c r="U115" i="6"/>
  <c r="V115" i="6"/>
  <c r="W116" i="5" s="1"/>
  <c r="U27" i="6"/>
  <c r="V27" i="6"/>
  <c r="W28" i="5" s="1"/>
  <c r="U48" i="6"/>
  <c r="V48" i="6"/>
  <c r="W49" i="5" s="1"/>
  <c r="Y49" i="5" s="1"/>
  <c r="L148" i="12"/>
  <c r="Z148" i="5" s="1"/>
  <c r="AA148" i="5" s="1"/>
  <c r="L138" i="12"/>
  <c r="Z138" i="5" s="1"/>
  <c r="AA138" i="5" s="1"/>
  <c r="L171" i="12"/>
  <c r="Z171" i="5" s="1"/>
  <c r="AA171" i="5" s="1"/>
  <c r="L170" i="12"/>
  <c r="Z170" i="5" s="1"/>
  <c r="AA170" i="5" s="1"/>
  <c r="L152" i="12"/>
  <c r="Z152" i="5" s="1"/>
  <c r="AA152" i="5"/>
  <c r="U34" i="6"/>
  <c r="V34" i="6"/>
  <c r="W35" i="5" s="1"/>
  <c r="Y35" i="5" s="1"/>
  <c r="U78" i="6"/>
  <c r="V78" i="6"/>
  <c r="W79" i="5" s="1"/>
  <c r="U36" i="6"/>
  <c r="V36" i="6"/>
  <c r="W37" i="5" s="1"/>
  <c r="Y37" i="5" s="1"/>
  <c r="L150" i="12"/>
  <c r="Z150" i="5" s="1"/>
  <c r="AA150" i="5"/>
  <c r="L156" i="12"/>
  <c r="Z156" i="5" s="1"/>
  <c r="AA156" i="5" s="1"/>
  <c r="U54" i="6"/>
  <c r="V54" i="6"/>
  <c r="W55" i="5" s="1"/>
  <c r="U4" i="6"/>
  <c r="V4" i="6"/>
  <c r="W5" i="5" s="1"/>
  <c r="U86" i="6"/>
  <c r="V86" i="6"/>
  <c r="W87" i="5" s="1"/>
  <c r="Y87" i="5" s="1"/>
  <c r="L161" i="12"/>
  <c r="Z161" i="5" s="1"/>
  <c r="AA161" i="5" s="1"/>
  <c r="L172" i="12"/>
  <c r="Z172" i="5" s="1"/>
  <c r="AA172" i="5" s="1"/>
  <c r="U16" i="6"/>
  <c r="V16" i="6"/>
  <c r="W17" i="5" s="1"/>
  <c r="U71" i="6"/>
  <c r="V71" i="6"/>
  <c r="W72" i="5" s="1"/>
  <c r="L128" i="12"/>
  <c r="Z128" i="5" s="1"/>
  <c r="AA128" i="5" s="1"/>
  <c r="U101" i="6"/>
  <c r="V101" i="6"/>
  <c r="W102" i="5" s="1"/>
  <c r="U25" i="6"/>
  <c r="V25" i="6"/>
  <c r="W26" i="5" s="1"/>
  <c r="U60" i="6"/>
  <c r="V60" i="6"/>
  <c r="W61" i="5" s="1"/>
  <c r="Y61" i="5" s="1"/>
  <c r="U99" i="6"/>
  <c r="V99" i="6"/>
  <c r="W100" i="5" s="1"/>
  <c r="U55" i="6"/>
  <c r="V55" i="6"/>
  <c r="W56" i="5" s="1"/>
  <c r="Y56" i="5" s="1"/>
  <c r="U84" i="6"/>
  <c r="V84" i="6"/>
  <c r="W85" i="5" s="1"/>
  <c r="L120" i="12"/>
  <c r="Z120" i="5" s="1"/>
  <c r="AA120" i="5" s="1"/>
  <c r="U73" i="6"/>
  <c r="V73" i="6"/>
  <c r="W74" i="5" s="1"/>
  <c r="L137" i="12"/>
  <c r="Z137" i="5" s="1"/>
  <c r="AA137" i="5" s="1"/>
  <c r="U85" i="6"/>
  <c r="V85" i="6"/>
  <c r="W86" i="5" s="1"/>
  <c r="U91" i="6"/>
  <c r="V91" i="6"/>
  <c r="W92" i="5" s="1"/>
  <c r="U6" i="6"/>
  <c r="V6" i="6"/>
  <c r="W7" i="5" s="1"/>
  <c r="U44" i="6"/>
  <c r="V44" i="6"/>
  <c r="W45" i="5" s="1"/>
  <c r="L126" i="12"/>
  <c r="Z126" i="5" s="1"/>
  <c r="AA126" i="5" s="1"/>
  <c r="U13" i="6"/>
  <c r="V13" i="6"/>
  <c r="W14" i="5" s="1"/>
  <c r="Y14" i="5" s="1"/>
  <c r="Y44" i="5"/>
  <c r="Y79" i="5"/>
  <c r="Y65" i="5"/>
  <c r="Y89" i="5"/>
  <c r="Y5" i="5"/>
  <c r="Y62" i="5"/>
  <c r="Y86" i="5"/>
  <c r="Y95" i="5"/>
  <c r="Y6" i="5"/>
  <c r="Y55" i="5"/>
  <c r="Y7" i="5"/>
  <c r="Y39" i="5"/>
  <c r="Y19" i="5"/>
  <c r="Y27" i="5"/>
  <c r="Y98" i="5"/>
  <c r="Y43" i="5"/>
  <c r="Y8" i="5"/>
  <c r="Y16" i="5"/>
  <c r="Y40" i="5"/>
  <c r="Y13" i="5"/>
  <c r="Y21" i="5"/>
  <c r="Y102" i="5"/>
  <c r="Y30" i="5"/>
  <c r="Y11" i="5"/>
  <c r="Y60" i="5"/>
  <c r="Y76" i="5"/>
  <c r="Y32" i="5"/>
  <c r="Y73" i="5"/>
  <c r="Y101" i="5"/>
  <c r="Y63" i="5"/>
  <c r="Y83" i="5"/>
  <c r="Y91" i="5"/>
  <c r="Y105" i="5"/>
  <c r="Y96" i="5"/>
  <c r="Y52" i="5"/>
  <c r="Y107" i="5"/>
  <c r="Y24" i="5"/>
  <c r="Y57" i="5"/>
  <c r="Y117" i="5"/>
  <c r="Y46" i="5"/>
  <c r="Y70" i="5"/>
  <c r="Y38" i="5"/>
  <c r="Y106" i="5"/>
  <c r="Y20" i="5"/>
  <c r="Y28" i="5"/>
  <c r="Y36" i="5"/>
  <c r="Y116" i="5"/>
  <c r="Y112" i="5"/>
  <c r="Y41" i="5"/>
  <c r="Y94" i="5"/>
  <c r="Y110" i="5"/>
  <c r="Y10" i="5"/>
  <c r="Y18" i="5"/>
  <c r="Y34" i="5"/>
  <c r="Y104" i="5"/>
  <c r="O2" i="10"/>
  <c r="P2" i="10" s="1"/>
  <c r="P117" i="10" s="1"/>
  <c r="I2" i="10"/>
  <c r="J2" i="10" s="1"/>
  <c r="M2" i="10" s="1"/>
  <c r="U3" i="5" s="1"/>
  <c r="Y68" i="5"/>
  <c r="Y92" i="5"/>
  <c r="Y81" i="5"/>
  <c r="Y108" i="5"/>
  <c r="Y29" i="5"/>
  <c r="Y54" i="5"/>
  <c r="Y78" i="5"/>
  <c r="Y111" i="5"/>
  <c r="Y22" i="5"/>
  <c r="Y47" i="5"/>
  <c r="Y31" i="5"/>
  <c r="Y15" i="5"/>
  <c r="Y23" i="5"/>
  <c r="Y48" i="5"/>
  <c r="Y72" i="5"/>
  <c r="Y80" i="5"/>
  <c r="Y88" i="5"/>
  <c r="Y99" i="5"/>
  <c r="Y115" i="5"/>
  <c r="I3" i="10"/>
  <c r="J3" i="10" s="1"/>
  <c r="M3" i="10" s="1"/>
  <c r="U4" i="5" s="1"/>
  <c r="O3" i="10"/>
  <c r="P3" i="10" s="1"/>
  <c r="Y12" i="5"/>
  <c r="Y45" i="5"/>
  <c r="Y53" i="5"/>
  <c r="Y69" i="5"/>
  <c r="Y77" i="5"/>
  <c r="Y85" i="5"/>
  <c r="Y93" i="5"/>
  <c r="Y109" i="5"/>
  <c r="Y100" i="5"/>
  <c r="Y9" i="5"/>
  <c r="Y17" i="5"/>
  <c r="Y25" i="5"/>
  <c r="Y33" i="5"/>
  <c r="Y50" i="5"/>
  <c r="Y58" i="5"/>
  <c r="Y66" i="5"/>
  <c r="Y74" i="5"/>
  <c r="Y82" i="5"/>
  <c r="Y90" i="5"/>
  <c r="Y103" i="5"/>
  <c r="Y26" i="5"/>
  <c r="Y42" i="5"/>
  <c r="Y51" i="5"/>
  <c r="Y59" i="5"/>
  <c r="Y67" i="5"/>
  <c r="Y75" i="5"/>
  <c r="Y97" i="5"/>
  <c r="Y113" i="5"/>
  <c r="W177" i="5" l="1"/>
  <c r="L97" i="12"/>
  <c r="Z97" i="5" s="1"/>
  <c r="AA97" i="5" s="1"/>
  <c r="L42" i="12"/>
  <c r="Z42" i="5" s="1"/>
  <c r="AA42" i="5" s="1"/>
  <c r="L50" i="12"/>
  <c r="Z50" i="5" s="1"/>
  <c r="AA50" i="5" s="1"/>
  <c r="L9" i="12"/>
  <c r="Z9" i="5" s="1"/>
  <c r="AA9" i="5" s="1"/>
  <c r="L69" i="12"/>
  <c r="Z69" i="5" s="1"/>
  <c r="AA69" i="5" s="1"/>
  <c r="L12" i="12"/>
  <c r="Z12" i="5" s="1"/>
  <c r="AA12" i="5" s="1"/>
  <c r="L88" i="12"/>
  <c r="Z88" i="5" s="1"/>
  <c r="AA88" i="5" s="1"/>
  <c r="L23" i="12"/>
  <c r="Z23" i="5" s="1"/>
  <c r="AA23" i="5" s="1"/>
  <c r="L31" i="12"/>
  <c r="Z31" i="5" s="1"/>
  <c r="AA31" i="5" s="1"/>
  <c r="L78" i="12"/>
  <c r="Z78" i="5" s="1"/>
  <c r="AA78" i="5" s="1"/>
  <c r="L81" i="12"/>
  <c r="Z81" i="5" s="1"/>
  <c r="AA81" i="5" s="1"/>
  <c r="L92" i="12"/>
  <c r="Z92" i="5" s="1"/>
  <c r="AA92" i="5" s="1"/>
  <c r="L10" i="12"/>
  <c r="Z10" i="5" s="1"/>
  <c r="AA10" i="5" s="1"/>
  <c r="L36" i="12"/>
  <c r="Z36" i="5" s="1"/>
  <c r="AA36" i="5" s="1"/>
  <c r="L46" i="12"/>
  <c r="Z46" i="5" s="1"/>
  <c r="AA46" i="5" s="1"/>
  <c r="L57" i="12"/>
  <c r="Z57" i="5" s="1"/>
  <c r="AA57" i="5" s="1"/>
  <c r="L91" i="12"/>
  <c r="Z91" i="5" s="1"/>
  <c r="AA91" i="5" s="1"/>
  <c r="L73" i="12"/>
  <c r="Z73" i="5" s="1"/>
  <c r="AA73" i="5" s="1"/>
  <c r="L76" i="12"/>
  <c r="Z76" i="5" s="1"/>
  <c r="AA76" i="5" s="1"/>
  <c r="L14" i="12"/>
  <c r="Z14" i="5" s="1"/>
  <c r="AA14" i="5" s="1"/>
  <c r="L8" i="12"/>
  <c r="Z8" i="5" s="1"/>
  <c r="AA8" i="5" s="1"/>
  <c r="L35" i="12"/>
  <c r="Z35" i="5" s="1"/>
  <c r="AA35" i="5" s="1"/>
  <c r="L19" i="12"/>
  <c r="Z19" i="5" s="1"/>
  <c r="AA19" i="5" s="1"/>
  <c r="L6" i="12"/>
  <c r="Z6" i="5" s="1"/>
  <c r="AA6" i="5" s="1"/>
  <c r="L86" i="12"/>
  <c r="Z86" i="5" s="1"/>
  <c r="AA86" i="5" s="1"/>
  <c r="L5" i="12"/>
  <c r="Z5" i="5" s="1"/>
  <c r="AA5" i="5" s="1"/>
  <c r="L65" i="12"/>
  <c r="Z65" i="5" s="1"/>
  <c r="AA65" i="5" s="1"/>
  <c r="L72" i="12"/>
  <c r="Z72" i="5" s="1"/>
  <c r="AA72" i="5" s="1"/>
  <c r="L75" i="12"/>
  <c r="Z75" i="5" s="1"/>
  <c r="AA75" i="5" s="1"/>
  <c r="L66" i="12"/>
  <c r="Z66" i="5" s="1"/>
  <c r="AA66" i="5" s="1"/>
  <c r="U177" i="5"/>
  <c r="Y3" i="5"/>
  <c r="L94" i="12"/>
  <c r="Z94" i="5" s="1"/>
  <c r="AA94" i="5" s="1"/>
  <c r="L38" i="12"/>
  <c r="Z38" i="5" s="1"/>
  <c r="AA38" i="5" s="1"/>
  <c r="L96" i="12"/>
  <c r="Z96" i="5" s="1"/>
  <c r="AA96" i="5" s="1"/>
  <c r="L37" i="12"/>
  <c r="Z37" i="5" s="1"/>
  <c r="AA37" i="5" s="1"/>
  <c r="L11" i="12"/>
  <c r="Z11" i="5" s="1"/>
  <c r="AA11" i="5" s="1"/>
  <c r="L40" i="12"/>
  <c r="Z40" i="5" s="1"/>
  <c r="AA40" i="5" s="1"/>
  <c r="L114" i="12"/>
  <c r="Z114" i="5" s="1"/>
  <c r="AA114" i="5" s="1"/>
  <c r="L7" i="12"/>
  <c r="Z7" i="5" s="1"/>
  <c r="AA7" i="5" s="1"/>
  <c r="L84" i="12"/>
  <c r="Z84" i="5" s="1"/>
  <c r="AA84" i="5" s="1"/>
  <c r="L82" i="12"/>
  <c r="Z82" i="5" s="1"/>
  <c r="AA82" i="5" s="1"/>
  <c r="L113" i="12"/>
  <c r="Z113" i="5" s="1"/>
  <c r="AA113" i="5" s="1"/>
  <c r="L87" i="12"/>
  <c r="Z87" i="5" s="1"/>
  <c r="AA87" i="5" s="1"/>
  <c r="L67" i="12"/>
  <c r="Z67" i="5" s="1"/>
  <c r="AA67" i="5" s="1"/>
  <c r="L51" i="12"/>
  <c r="Z51" i="5" s="1"/>
  <c r="AA51" i="5" s="1"/>
  <c r="L26" i="12"/>
  <c r="Z26" i="5" s="1"/>
  <c r="AA26" i="5" s="1"/>
  <c r="L90" i="12"/>
  <c r="Z90" i="5" s="1"/>
  <c r="AA90" i="5" s="1"/>
  <c r="L74" i="12"/>
  <c r="Z74" i="5" s="1"/>
  <c r="AA74" i="5"/>
  <c r="L58" i="12"/>
  <c r="Z58" i="5" s="1"/>
  <c r="AA58" i="5" s="1"/>
  <c r="L33" i="12"/>
  <c r="Z33" i="5" s="1"/>
  <c r="AA33" i="5" s="1"/>
  <c r="L17" i="12"/>
  <c r="Z17" i="5" s="1"/>
  <c r="AA17" i="5" s="1"/>
  <c r="L100" i="12"/>
  <c r="Z100" i="5" s="1"/>
  <c r="AA100" i="5"/>
  <c r="L93" i="12"/>
  <c r="Z93" i="5" s="1"/>
  <c r="AA93" i="5" s="1"/>
  <c r="L77" i="12"/>
  <c r="Z77" i="5" s="1"/>
  <c r="AA77" i="5" s="1"/>
  <c r="L61" i="12"/>
  <c r="Z61" i="5" s="1"/>
  <c r="AA61" i="5" s="1"/>
  <c r="L45" i="12"/>
  <c r="Z45" i="5" s="1"/>
  <c r="AA45" i="5" s="1"/>
  <c r="L99" i="12"/>
  <c r="Z99" i="5" s="1"/>
  <c r="AA99" i="5" s="1"/>
  <c r="L80" i="12"/>
  <c r="Z80" i="5" s="1"/>
  <c r="AA80" i="5" s="1"/>
  <c r="L64" i="12"/>
  <c r="Z64" i="5" s="1"/>
  <c r="AA64" i="5" s="1"/>
  <c r="L48" i="12"/>
  <c r="Z48" i="5" s="1"/>
  <c r="AA48" i="5" s="1"/>
  <c r="L15" i="12"/>
  <c r="Z15" i="5" s="1"/>
  <c r="AA15" i="5" s="1"/>
  <c r="L47" i="12"/>
  <c r="Z47" i="5" s="1"/>
  <c r="AA47" i="5" s="1"/>
  <c r="L111" i="12"/>
  <c r="Z111" i="5" s="1"/>
  <c r="AA111" i="5" s="1"/>
  <c r="L54" i="12"/>
  <c r="Z54" i="5" s="1"/>
  <c r="AA54" i="5" s="1"/>
  <c r="L108" i="12"/>
  <c r="Z108" i="5" s="1"/>
  <c r="AA108" i="5" s="1"/>
  <c r="L49" i="12"/>
  <c r="Z49" i="5" s="1"/>
  <c r="AA49" i="5" s="1"/>
  <c r="L68" i="12"/>
  <c r="Z68" i="5" s="1"/>
  <c r="AA68" i="5" s="1"/>
  <c r="L104" i="12"/>
  <c r="Z104" i="5" s="1"/>
  <c r="AA104" i="5" s="1"/>
  <c r="L18" i="12"/>
  <c r="Z18" i="5" s="1"/>
  <c r="AA18" i="5" s="1"/>
  <c r="L110" i="12"/>
  <c r="Z110" i="5" s="1"/>
  <c r="L41" i="12"/>
  <c r="Z41" i="5" s="1"/>
  <c r="AA41" i="5" s="1"/>
  <c r="L116" i="12"/>
  <c r="Z116" i="5" s="1"/>
  <c r="L28" i="12"/>
  <c r="Z28" i="5" s="1"/>
  <c r="AA28" i="5" s="1"/>
  <c r="L106" i="12"/>
  <c r="Z106" i="5" s="1"/>
  <c r="L70" i="12"/>
  <c r="Z70" i="5" s="1"/>
  <c r="AA70" i="5" s="1"/>
  <c r="L117" i="12"/>
  <c r="Z117" i="5" s="1"/>
  <c r="L24" i="12"/>
  <c r="Z24" i="5" s="1"/>
  <c r="AA24" i="5" s="1"/>
  <c r="L52" i="12"/>
  <c r="Z52" i="5" s="1"/>
  <c r="L83" i="12"/>
  <c r="Z83" i="5" s="1"/>
  <c r="AA83" i="5" s="1"/>
  <c r="L63" i="12"/>
  <c r="Z63" i="5" s="1"/>
  <c r="L101" i="12"/>
  <c r="Z101" i="5" s="1"/>
  <c r="AA101" i="5" s="1"/>
  <c r="L32" i="12"/>
  <c r="Z32" i="5" s="1"/>
  <c r="L60" i="12"/>
  <c r="Z60" i="5" s="1"/>
  <c r="AA60" i="5" s="1"/>
  <c r="L30" i="12"/>
  <c r="Z30" i="5" s="1"/>
  <c r="L102" i="12"/>
  <c r="Z102" i="5" s="1"/>
  <c r="AA102" i="5" s="1"/>
  <c r="L13" i="12"/>
  <c r="Z13" i="5" s="1"/>
  <c r="L16" i="12"/>
  <c r="Z16" i="5" s="1"/>
  <c r="AA16" i="5" s="1"/>
  <c r="L43" i="12"/>
  <c r="Z43" i="5" s="1"/>
  <c r="L98" i="12"/>
  <c r="Z98" i="5" s="1"/>
  <c r="AA98" i="5" s="1"/>
  <c r="L27" i="12"/>
  <c r="Z27" i="5" s="1"/>
  <c r="L39" i="12"/>
  <c r="Z39" i="5" s="1"/>
  <c r="AA39" i="5" s="1"/>
  <c r="L55" i="12"/>
  <c r="Z55" i="5" s="1"/>
  <c r="L95" i="12"/>
  <c r="Z95" i="5" s="1"/>
  <c r="AA95" i="5" s="1"/>
  <c r="L62" i="12"/>
  <c r="Z62" i="5" s="1"/>
  <c r="L89" i="12"/>
  <c r="Z89" i="5" s="1"/>
  <c r="AA89" i="5" s="1"/>
  <c r="L79" i="12"/>
  <c r="Z79" i="5" s="1"/>
  <c r="L44" i="12"/>
  <c r="Z44" i="5" s="1"/>
  <c r="AA44" i="5" s="1"/>
  <c r="L59" i="12"/>
  <c r="Z59" i="5" s="1"/>
  <c r="L103" i="12"/>
  <c r="Z103" i="5" s="1"/>
  <c r="AA103" i="5" s="1"/>
  <c r="L25" i="12"/>
  <c r="Z25" i="5" s="1"/>
  <c r="L109" i="12"/>
  <c r="Z109" i="5" s="1"/>
  <c r="AA109" i="5" s="1"/>
  <c r="L85" i="12"/>
  <c r="Z85" i="5" s="1"/>
  <c r="L53" i="12"/>
  <c r="Z53" i="5" s="1"/>
  <c r="L115" i="12"/>
  <c r="Z115" i="5" s="1"/>
  <c r="L56" i="12"/>
  <c r="Z56" i="5" s="1"/>
  <c r="L22" i="12"/>
  <c r="Z22" i="5" s="1"/>
  <c r="L29" i="12"/>
  <c r="Z29" i="5" s="1"/>
  <c r="AA29" i="5" s="1"/>
  <c r="L34" i="12"/>
  <c r="Z34" i="5" s="1"/>
  <c r="L112" i="12"/>
  <c r="Z112" i="5" s="1"/>
  <c r="AA112" i="5" s="1"/>
  <c r="L107" i="12"/>
  <c r="Z107" i="5" s="1"/>
  <c r="L71" i="12"/>
  <c r="Z71" i="5" s="1"/>
  <c r="L21" i="12"/>
  <c r="Z21" i="5" s="1"/>
  <c r="L20" i="12"/>
  <c r="Z20" i="5" s="1"/>
  <c r="Y4" i="5"/>
  <c r="L105" i="12"/>
  <c r="Z105" i="5" s="1"/>
  <c r="AA105" i="5" s="1"/>
  <c r="AA20" i="5" l="1"/>
  <c r="AA71" i="5"/>
  <c r="AA56" i="5"/>
  <c r="AA53" i="5"/>
  <c r="L3" i="12"/>
  <c r="Z3" i="5" s="1"/>
  <c r="Y177" i="5"/>
  <c r="AA3" i="5"/>
  <c r="L4" i="12"/>
  <c r="Z4" i="5" s="1"/>
  <c r="AA4" i="5" s="1"/>
  <c r="AA21" i="5"/>
  <c r="AA107" i="5"/>
  <c r="AA34" i="5"/>
  <c r="AA22" i="5"/>
  <c r="AA115" i="5"/>
  <c r="AA85" i="5"/>
  <c r="AA25" i="5"/>
  <c r="AA59" i="5"/>
  <c r="AA79" i="5"/>
  <c r="AA62" i="5"/>
  <c r="AA55" i="5"/>
  <c r="AA27" i="5"/>
  <c r="AA43" i="5"/>
  <c r="AA13" i="5"/>
  <c r="AA30" i="5"/>
  <c r="AA32" i="5"/>
  <c r="AA63" i="5"/>
  <c r="AA52" i="5"/>
  <c r="AA117" i="5"/>
  <c r="AA106" i="5"/>
  <c r="AA116" i="5"/>
  <c r="AA110" i="5"/>
  <c r="AA177" i="5" l="1"/>
  <c r="Z177" i="5"/>
  <c r="E3" i="1" l="1"/>
  <c r="N178" i="5"/>
  <c r="Q178" i="5"/>
  <c r="P178" i="5"/>
  <c r="S178" i="5"/>
  <c r="O178" i="5"/>
  <c r="M178" i="5"/>
  <c r="W178" i="5"/>
  <c r="T178" i="5"/>
  <c r="AJ175" i="5" l="1"/>
  <c r="AN175" i="5"/>
  <c r="AR175" i="5"/>
  <c r="AK175" i="5"/>
  <c r="AG175" i="5"/>
  <c r="AL175" i="5"/>
  <c r="AJ3" i="5"/>
  <c r="AI4" i="5"/>
  <c r="AN4" i="5"/>
  <c r="AR4" i="5"/>
  <c r="AH5" i="5"/>
  <c r="AL5" i="5"/>
  <c r="AQ5" i="5"/>
  <c r="AG6" i="5"/>
  <c r="AK6" i="5"/>
  <c r="AP6" i="5"/>
  <c r="AJ7" i="5"/>
  <c r="AI8" i="5"/>
  <c r="AN8" i="5"/>
  <c r="AR8" i="5"/>
  <c r="AH9" i="5"/>
  <c r="AL9" i="5"/>
  <c r="AQ9" i="5"/>
  <c r="AG10" i="5"/>
  <c r="AK10" i="5"/>
  <c r="AP10" i="5"/>
  <c r="AJ11" i="5"/>
  <c r="AI12" i="5"/>
  <c r="AN12" i="5"/>
  <c r="AR12" i="5"/>
  <c r="AH13" i="5"/>
  <c r="AL13" i="5"/>
  <c r="AQ13" i="5"/>
  <c r="AG3" i="5"/>
  <c r="AK3" i="5"/>
  <c r="AP3" i="5"/>
  <c r="AJ4" i="5"/>
  <c r="AI5" i="5"/>
  <c r="AN5" i="5"/>
  <c r="AR5" i="5"/>
  <c r="AH6" i="5"/>
  <c r="AL6" i="5"/>
  <c r="AQ6" i="5"/>
  <c r="AG7" i="5"/>
  <c r="AK7" i="5"/>
  <c r="AP7" i="5"/>
  <c r="AJ8" i="5"/>
  <c r="AI9" i="5"/>
  <c r="AN9" i="5"/>
  <c r="AR9" i="5"/>
  <c r="AH10" i="5"/>
  <c r="AL10" i="5"/>
  <c r="AQ10" i="5"/>
  <c r="AG11" i="5"/>
  <c r="AK11" i="5"/>
  <c r="AP11" i="5"/>
  <c r="AJ12" i="5"/>
  <c r="AI13" i="5"/>
  <c r="AN13" i="5"/>
  <c r="AH175" i="5"/>
  <c r="AH3" i="5"/>
  <c r="AQ3" i="5"/>
  <c r="AK4" i="5"/>
  <c r="AI6" i="5"/>
  <c r="AR6" i="5"/>
  <c r="AL7" i="5"/>
  <c r="AG8" i="5"/>
  <c r="AP8" i="5"/>
  <c r="AJ9" i="5"/>
  <c r="AN10" i="5"/>
  <c r="AH11" i="5"/>
  <c r="AQ11" i="5"/>
  <c r="AK12" i="5"/>
  <c r="AJ14" i="5"/>
  <c r="AI15" i="5"/>
  <c r="AN15" i="5"/>
  <c r="AR15" i="5"/>
  <c r="AH16" i="5"/>
  <c r="AL16" i="5"/>
  <c r="AQ16" i="5"/>
  <c r="AG17" i="5"/>
  <c r="AK17" i="5"/>
  <c r="AP17" i="5"/>
  <c r="AJ18" i="5"/>
  <c r="AI19" i="5"/>
  <c r="AN19" i="5"/>
  <c r="AR19" i="5"/>
  <c r="AH20" i="5"/>
  <c r="AL20" i="5"/>
  <c r="AQ20" i="5"/>
  <c r="AG21" i="5"/>
  <c r="AK21" i="5"/>
  <c r="AP21" i="5"/>
  <c r="AJ22" i="5"/>
  <c r="AI23" i="5"/>
  <c r="AN23" i="5"/>
  <c r="AR23" i="5"/>
  <c r="AH24" i="5"/>
  <c r="AL24" i="5"/>
  <c r="AQ24" i="5"/>
  <c r="AG25" i="5"/>
  <c r="AK25" i="5"/>
  <c r="AP25" i="5"/>
  <c r="AJ26" i="5"/>
  <c r="AI27" i="5"/>
  <c r="AN27" i="5"/>
  <c r="AR27" i="5"/>
  <c r="AH28" i="5"/>
  <c r="AL28" i="5"/>
  <c r="AQ28" i="5"/>
  <c r="AG29" i="5"/>
  <c r="AK29" i="5"/>
  <c r="AP29" i="5"/>
  <c r="AJ30" i="5"/>
  <c r="AI31" i="5"/>
  <c r="AN31" i="5"/>
  <c r="AR31" i="5"/>
  <c r="AH32" i="5"/>
  <c r="AL32" i="5"/>
  <c r="AQ32" i="5"/>
  <c r="AG33" i="5"/>
  <c r="AK33" i="5"/>
  <c r="AP33" i="5"/>
  <c r="AJ34" i="5"/>
  <c r="AI35" i="5"/>
  <c r="AN35" i="5"/>
  <c r="AR35" i="5"/>
  <c r="AH36" i="5"/>
  <c r="AL36" i="5"/>
  <c r="AQ36" i="5"/>
  <c r="AG37" i="5"/>
  <c r="AK37" i="5"/>
  <c r="AP37" i="5"/>
  <c r="AJ38" i="5"/>
  <c r="AI39" i="5"/>
  <c r="AN39" i="5"/>
  <c r="AR39" i="5"/>
  <c r="AH40" i="5"/>
  <c r="AL40" i="5"/>
  <c r="AQ40" i="5"/>
  <c r="AG41" i="5"/>
  <c r="AK41" i="5"/>
  <c r="AP41" i="5"/>
  <c r="AJ42" i="5"/>
  <c r="AH44" i="5"/>
  <c r="AL44" i="5"/>
  <c r="AQ44" i="5"/>
  <c r="AG45" i="5"/>
  <c r="AK45" i="5"/>
  <c r="AP45" i="5"/>
  <c r="AJ46" i="5"/>
  <c r="AI47" i="5"/>
  <c r="AN47" i="5"/>
  <c r="AR47" i="5"/>
  <c r="AH48" i="5"/>
  <c r="AL48" i="5"/>
  <c r="AQ48" i="5"/>
  <c r="AG49" i="5"/>
  <c r="AK49" i="5"/>
  <c r="AP49" i="5"/>
  <c r="AJ50" i="5"/>
  <c r="AI51" i="5"/>
  <c r="AN51" i="5"/>
  <c r="AR51" i="5"/>
  <c r="AH52" i="5"/>
  <c r="AL52" i="5"/>
  <c r="AQ52" i="5"/>
  <c r="AI175" i="5"/>
  <c r="AI3" i="5"/>
  <c r="AR3" i="5"/>
  <c r="AL4" i="5"/>
  <c r="AG5" i="5"/>
  <c r="AP5" i="5"/>
  <c r="AJ6" i="5"/>
  <c r="AN7" i="5"/>
  <c r="AH8" i="5"/>
  <c r="AQ8" i="5"/>
  <c r="AK9" i="5"/>
  <c r="AI11" i="5"/>
  <c r="AR11" i="5"/>
  <c r="AL12" i="5"/>
  <c r="AG13" i="5"/>
  <c r="AP13" i="5"/>
  <c r="AG14" i="5"/>
  <c r="AK14" i="5"/>
  <c r="AP14" i="5"/>
  <c r="AJ15" i="5"/>
  <c r="AI16" i="5"/>
  <c r="AN16" i="5"/>
  <c r="AR16" i="5"/>
  <c r="AH17" i="5"/>
  <c r="AL17" i="5"/>
  <c r="AQ17" i="5"/>
  <c r="AG18" i="5"/>
  <c r="AK18" i="5"/>
  <c r="AP18" i="5"/>
  <c r="AJ19" i="5"/>
  <c r="AI20" i="5"/>
  <c r="AN20" i="5"/>
  <c r="AR20" i="5"/>
  <c r="AH21" i="5"/>
  <c r="AL21" i="5"/>
  <c r="AQ21" i="5"/>
  <c r="AG22" i="5"/>
  <c r="AK22" i="5"/>
  <c r="AP22" i="5"/>
  <c r="AJ23" i="5"/>
  <c r="AI24" i="5"/>
  <c r="AN24" i="5"/>
  <c r="AR24" i="5"/>
  <c r="AH25" i="5"/>
  <c r="AL25" i="5"/>
  <c r="AQ25" i="5"/>
  <c r="AG26" i="5"/>
  <c r="AK26" i="5"/>
  <c r="AP26" i="5"/>
  <c r="AJ27" i="5"/>
  <c r="AI28" i="5"/>
  <c r="AN28" i="5"/>
  <c r="AR28" i="5"/>
  <c r="AH29" i="5"/>
  <c r="AL29" i="5"/>
  <c r="AQ29" i="5"/>
  <c r="AG30" i="5"/>
  <c r="AK30" i="5"/>
  <c r="AP30" i="5"/>
  <c r="AJ31" i="5"/>
  <c r="AI32" i="5"/>
  <c r="AN32" i="5"/>
  <c r="AR32" i="5"/>
  <c r="AH33" i="5"/>
  <c r="AL33" i="5"/>
  <c r="AQ33" i="5"/>
  <c r="AG34" i="5"/>
  <c r="AK34" i="5"/>
  <c r="AP34" i="5"/>
  <c r="AJ35" i="5"/>
  <c r="AI36" i="5"/>
  <c r="AN36" i="5"/>
  <c r="AR36" i="5"/>
  <c r="AH37" i="5"/>
  <c r="AL37" i="5"/>
  <c r="AQ37" i="5"/>
  <c r="AG38" i="5"/>
  <c r="AK38" i="5"/>
  <c r="AP38" i="5"/>
  <c r="AJ39" i="5"/>
  <c r="AI40" i="5"/>
  <c r="AN40" i="5"/>
  <c r="AR40" i="5"/>
  <c r="AH41" i="5"/>
  <c r="AL41" i="5"/>
  <c r="AQ41" i="5"/>
  <c r="AG42" i="5"/>
  <c r="AK42" i="5"/>
  <c r="AP42" i="5"/>
  <c r="AJ43" i="5"/>
  <c r="AI44" i="5"/>
  <c r="AN44" i="5"/>
  <c r="AR44" i="5"/>
  <c r="AH45" i="5"/>
  <c r="AL45" i="5"/>
  <c r="AQ45" i="5"/>
  <c r="AG46" i="5"/>
  <c r="AK46" i="5"/>
  <c r="AP46" i="5"/>
  <c r="AJ47" i="5"/>
  <c r="AI48" i="5"/>
  <c r="AN48" i="5"/>
  <c r="AR48" i="5"/>
  <c r="AH49" i="5"/>
  <c r="AL49" i="5"/>
  <c r="AQ49" i="5"/>
  <c r="AG50" i="5"/>
  <c r="AK50" i="5"/>
  <c r="AP50" i="5"/>
  <c r="AJ51" i="5"/>
  <c r="AI52" i="5"/>
  <c r="AN52" i="5"/>
  <c r="AP175" i="5"/>
  <c r="AH4" i="5"/>
  <c r="AK5" i="5"/>
  <c r="AR7" i="5"/>
  <c r="AG9" i="5"/>
  <c r="AJ10" i="5"/>
  <c r="AN11" i="5"/>
  <c r="AQ12" i="5"/>
  <c r="AN14" i="5"/>
  <c r="AH15" i="5"/>
  <c r="AQ15" i="5"/>
  <c r="AK16" i="5"/>
  <c r="AI18" i="5"/>
  <c r="AR18" i="5"/>
  <c r="AL19" i="5"/>
  <c r="AG20" i="5"/>
  <c r="AP20" i="5"/>
  <c r="AJ21" i="5"/>
  <c r="AN22" i="5"/>
  <c r="AH23" i="5"/>
  <c r="AQ23" i="5"/>
  <c r="AK24" i="5"/>
  <c r="AI26" i="5"/>
  <c r="AR26" i="5"/>
  <c r="AL27" i="5"/>
  <c r="AG28" i="5"/>
  <c r="AP28" i="5"/>
  <c r="AJ29" i="5"/>
  <c r="AN30" i="5"/>
  <c r="AH31" i="5"/>
  <c r="AQ31" i="5"/>
  <c r="AK32" i="5"/>
  <c r="AI34" i="5"/>
  <c r="AR34" i="5"/>
  <c r="AL35" i="5"/>
  <c r="AG36" i="5"/>
  <c r="AP36" i="5"/>
  <c r="AJ37" i="5"/>
  <c r="AN38" i="5"/>
  <c r="AH39" i="5"/>
  <c r="AQ39" i="5"/>
  <c r="AK40" i="5"/>
  <c r="AI42" i="5"/>
  <c r="AR42" i="5"/>
  <c r="AL43" i="5"/>
  <c r="AG44" i="5"/>
  <c r="AP44" i="5"/>
  <c r="AJ45" i="5"/>
  <c r="AN46" i="5"/>
  <c r="AH47" i="5"/>
  <c r="AQ47" i="5"/>
  <c r="AK48" i="5"/>
  <c r="AI50" i="5"/>
  <c r="AR50" i="5"/>
  <c r="AL51" i="5"/>
  <c r="AG52" i="5"/>
  <c r="AP52" i="5"/>
  <c r="AG53" i="5"/>
  <c r="AK53" i="5"/>
  <c r="AP53" i="5"/>
  <c r="AJ54" i="5"/>
  <c r="AI55" i="5"/>
  <c r="AN55" i="5"/>
  <c r="AR55" i="5"/>
  <c r="AH56" i="5"/>
  <c r="AL56" i="5"/>
  <c r="AQ56" i="5"/>
  <c r="AG57" i="5"/>
  <c r="AK57" i="5"/>
  <c r="AP57" i="5"/>
  <c r="AJ58" i="5"/>
  <c r="AI59" i="5"/>
  <c r="AN59" i="5"/>
  <c r="AR59" i="5"/>
  <c r="AH60" i="5"/>
  <c r="AL60" i="5"/>
  <c r="AQ60" i="5"/>
  <c r="AG61" i="5"/>
  <c r="AK61" i="5"/>
  <c r="AP61" i="5"/>
  <c r="AJ62" i="5"/>
  <c r="AI63" i="5"/>
  <c r="AN63" i="5"/>
  <c r="AR63" i="5"/>
  <c r="AH64" i="5"/>
  <c r="AL64" i="5"/>
  <c r="AQ64" i="5"/>
  <c r="AG65" i="5"/>
  <c r="AK65" i="5"/>
  <c r="AP65" i="5"/>
  <c r="AJ66" i="5"/>
  <c r="AI67" i="5"/>
  <c r="AN67" i="5"/>
  <c r="AR67" i="5"/>
  <c r="AH68" i="5"/>
  <c r="AL68" i="5"/>
  <c r="AQ68" i="5"/>
  <c r="AG69" i="5"/>
  <c r="AK69" i="5"/>
  <c r="AP69" i="5"/>
  <c r="AJ70" i="5"/>
  <c r="AI71" i="5"/>
  <c r="AN71" i="5"/>
  <c r="AR71" i="5"/>
  <c r="AH72" i="5"/>
  <c r="AL72" i="5"/>
  <c r="AQ72" i="5"/>
  <c r="AG73" i="5"/>
  <c r="AK73" i="5"/>
  <c r="AP73" i="5"/>
  <c r="AJ74" i="5"/>
  <c r="AI75" i="5"/>
  <c r="AN75" i="5"/>
  <c r="AR75" i="5"/>
  <c r="AH76" i="5"/>
  <c r="AL76" i="5"/>
  <c r="AQ76" i="5"/>
  <c r="AG77" i="5"/>
  <c r="AK77" i="5"/>
  <c r="AP77" i="5"/>
  <c r="AJ78" i="5"/>
  <c r="AI79" i="5"/>
  <c r="AN79" i="5"/>
  <c r="AR79" i="5"/>
  <c r="AH80" i="5"/>
  <c r="AL3" i="5"/>
  <c r="AP4" i="5"/>
  <c r="AH7" i="5"/>
  <c r="AK8" i="5"/>
  <c r="AR10" i="5"/>
  <c r="AG12" i="5"/>
  <c r="AJ13" i="5"/>
  <c r="AH14" i="5"/>
  <c r="AQ14" i="5"/>
  <c r="AK15" i="5"/>
  <c r="AI17" i="5"/>
  <c r="AR17" i="5"/>
  <c r="AL18" i="5"/>
  <c r="AG19" i="5"/>
  <c r="AP19" i="5"/>
  <c r="AJ20" i="5"/>
  <c r="AN21" i="5"/>
  <c r="AH22" i="5"/>
  <c r="AQ22" i="5"/>
  <c r="AK23" i="5"/>
  <c r="AI25" i="5"/>
  <c r="AR25" i="5"/>
  <c r="AL26" i="5"/>
  <c r="AG27" i="5"/>
  <c r="AP27" i="5"/>
  <c r="AJ28" i="5"/>
  <c r="AN29" i="5"/>
  <c r="AH30" i="5"/>
  <c r="AQ30" i="5"/>
  <c r="AK31" i="5"/>
  <c r="AI33" i="5"/>
  <c r="AR33" i="5"/>
  <c r="AL34" i="5"/>
  <c r="AG35" i="5"/>
  <c r="AP35" i="5"/>
  <c r="AJ36" i="5"/>
  <c r="AN37" i="5"/>
  <c r="AH38" i="5"/>
  <c r="AQ38" i="5"/>
  <c r="AK39" i="5"/>
  <c r="AI41" i="5"/>
  <c r="AR41" i="5"/>
  <c r="AL42" i="5"/>
  <c r="AJ44" i="5"/>
  <c r="AN45" i="5"/>
  <c r="AH46" i="5"/>
  <c r="AQ46" i="5"/>
  <c r="AK47" i="5"/>
  <c r="AI49" i="5"/>
  <c r="AR49" i="5"/>
  <c r="AL50" i="5"/>
  <c r="AG51" i="5"/>
  <c r="AP51" i="5"/>
  <c r="AJ52" i="5"/>
  <c r="AR52" i="5"/>
  <c r="AH53" i="5"/>
  <c r="AL53" i="5"/>
  <c r="AQ53" i="5"/>
  <c r="AG54" i="5"/>
  <c r="AK54" i="5"/>
  <c r="AP54" i="5"/>
  <c r="AJ55" i="5"/>
  <c r="AI56" i="5"/>
  <c r="AN56" i="5"/>
  <c r="AR56" i="5"/>
  <c r="AH57" i="5"/>
  <c r="AL57" i="5"/>
  <c r="AQ57" i="5"/>
  <c r="AG58" i="5"/>
  <c r="AK58" i="5"/>
  <c r="AP58" i="5"/>
  <c r="AJ59" i="5"/>
  <c r="AI60" i="5"/>
  <c r="AN60" i="5"/>
  <c r="AR60" i="5"/>
  <c r="AH61" i="5"/>
  <c r="AL61" i="5"/>
  <c r="AQ61" i="5"/>
  <c r="AG62" i="5"/>
  <c r="AK62" i="5"/>
  <c r="AP62" i="5"/>
  <c r="AJ63" i="5"/>
  <c r="AI64" i="5"/>
  <c r="AN64" i="5"/>
  <c r="AR64" i="5"/>
  <c r="AH65" i="5"/>
  <c r="AL65" i="5"/>
  <c r="AQ65" i="5"/>
  <c r="AG66" i="5"/>
  <c r="AK66" i="5"/>
  <c r="AP66" i="5"/>
  <c r="AJ67" i="5"/>
  <c r="AI68" i="5"/>
  <c r="AN68" i="5"/>
  <c r="AR68" i="5"/>
  <c r="AH69" i="5"/>
  <c r="AL69" i="5"/>
  <c r="AQ69" i="5"/>
  <c r="AG70" i="5"/>
  <c r="AK70" i="5"/>
  <c r="AP70" i="5"/>
  <c r="AJ71" i="5"/>
  <c r="AI72" i="5"/>
  <c r="AN72" i="5"/>
  <c r="AR72" i="5"/>
  <c r="AH73" i="5"/>
  <c r="AL73" i="5"/>
  <c r="AQ73" i="5"/>
  <c r="AG74" i="5"/>
  <c r="AK74" i="5"/>
  <c r="AP74" i="5"/>
  <c r="AJ75" i="5"/>
  <c r="AI76" i="5"/>
  <c r="AN76" i="5"/>
  <c r="AR76" i="5"/>
  <c r="AH77" i="5"/>
  <c r="AL77" i="5"/>
  <c r="AQ77" i="5"/>
  <c r="AG78" i="5"/>
  <c r="AK78" i="5"/>
  <c r="AP78" i="5"/>
  <c r="AJ79" i="5"/>
  <c r="AI80" i="5"/>
  <c r="AQ175" i="5"/>
  <c r="AN3" i="5"/>
  <c r="AQ4" i="5"/>
  <c r="AI7" i="5"/>
  <c r="AL8" i="5"/>
  <c r="AP9" i="5"/>
  <c r="AH12" i="5"/>
  <c r="AK13" i="5"/>
  <c r="AI14" i="5"/>
  <c r="AR14" i="5"/>
  <c r="AL15" i="5"/>
  <c r="AG16" i="5"/>
  <c r="AP16" i="5"/>
  <c r="AJ17" i="5"/>
  <c r="AN18" i="5"/>
  <c r="AH19" i="5"/>
  <c r="AQ19" i="5"/>
  <c r="AK20" i="5"/>
  <c r="AI22" i="5"/>
  <c r="AR22" i="5"/>
  <c r="AL23" i="5"/>
  <c r="AG24" i="5"/>
  <c r="AP24" i="5"/>
  <c r="AJ25" i="5"/>
  <c r="AN26" i="5"/>
  <c r="AH27" i="5"/>
  <c r="AQ27" i="5"/>
  <c r="AK28" i="5"/>
  <c r="AI30" i="5"/>
  <c r="AR30" i="5"/>
  <c r="AL31" i="5"/>
  <c r="AG32" i="5"/>
  <c r="AP32" i="5"/>
  <c r="AJ33" i="5"/>
  <c r="AG4" i="5"/>
  <c r="AR13" i="5"/>
  <c r="AJ16" i="5"/>
  <c r="AQ18" i="5"/>
  <c r="AI21" i="5"/>
  <c r="AP23" i="5"/>
  <c r="AH26" i="5"/>
  <c r="AG31" i="5"/>
  <c r="AN33" i="5"/>
  <c r="AQ34" i="5"/>
  <c r="AI37" i="5"/>
  <c r="AL38" i="5"/>
  <c r="AP39" i="5"/>
  <c r="AH42" i="5"/>
  <c r="AK43" i="5"/>
  <c r="AR45" i="5"/>
  <c r="AG47" i="5"/>
  <c r="AJ48" i="5"/>
  <c r="AN49" i="5"/>
  <c r="AQ50" i="5"/>
  <c r="AI54" i="5"/>
  <c r="AR54" i="5"/>
  <c r="AL55" i="5"/>
  <c r="AG56" i="5"/>
  <c r="AP56" i="5"/>
  <c r="AJ57" i="5"/>
  <c r="AN58" i="5"/>
  <c r="AH59" i="5"/>
  <c r="AQ59" i="5"/>
  <c r="AK60" i="5"/>
  <c r="AI62" i="5"/>
  <c r="AR62" i="5"/>
  <c r="AL63" i="5"/>
  <c r="AG64" i="5"/>
  <c r="AP64" i="5"/>
  <c r="AJ65" i="5"/>
  <c r="AN66" i="5"/>
  <c r="AH67" i="5"/>
  <c r="AQ67" i="5"/>
  <c r="AK68" i="5"/>
  <c r="AI70" i="5"/>
  <c r="AR70" i="5"/>
  <c r="AL71" i="5"/>
  <c r="AG72" i="5"/>
  <c r="AP72" i="5"/>
  <c r="AJ73" i="5"/>
  <c r="AN74" i="5"/>
  <c r="AH75" i="5"/>
  <c r="AQ75" i="5"/>
  <c r="AK76" i="5"/>
  <c r="AI78" i="5"/>
  <c r="AR78" i="5"/>
  <c r="AL79" i="5"/>
  <c r="AG80" i="5"/>
  <c r="AN80" i="5"/>
  <c r="AR80" i="5"/>
  <c r="AH81" i="5"/>
  <c r="AL81" i="5"/>
  <c r="AQ81" i="5"/>
  <c r="AG82" i="5"/>
  <c r="AK82" i="5"/>
  <c r="AP82" i="5"/>
  <c r="AJ83" i="5"/>
  <c r="AI84" i="5"/>
  <c r="AN84" i="5"/>
  <c r="AR84" i="5"/>
  <c r="AH85" i="5"/>
  <c r="AL85" i="5"/>
  <c r="AQ85" i="5"/>
  <c r="AG86" i="5"/>
  <c r="AK86" i="5"/>
  <c r="AP86" i="5"/>
  <c r="AJ87" i="5"/>
  <c r="AI88" i="5"/>
  <c r="AN88" i="5"/>
  <c r="AR88" i="5"/>
  <c r="AH89" i="5"/>
  <c r="AL89" i="5"/>
  <c r="AQ89" i="5"/>
  <c r="AG90" i="5"/>
  <c r="AK90" i="5"/>
  <c r="AP90" i="5"/>
  <c r="AJ91" i="5"/>
  <c r="AI92" i="5"/>
  <c r="AN92" i="5"/>
  <c r="AR92" i="5"/>
  <c r="AH93" i="5"/>
  <c r="AL93" i="5"/>
  <c r="AQ93" i="5"/>
  <c r="AG94" i="5"/>
  <c r="AK94" i="5"/>
  <c r="AP94" i="5"/>
  <c r="AJ95" i="5"/>
  <c r="AI96" i="5"/>
  <c r="AN96" i="5"/>
  <c r="AR96" i="5"/>
  <c r="AH97" i="5"/>
  <c r="AL97" i="5"/>
  <c r="AQ97" i="5"/>
  <c r="AG98" i="5"/>
  <c r="AK98" i="5"/>
  <c r="AP98" i="5"/>
  <c r="AJ99" i="5"/>
  <c r="AI100" i="5"/>
  <c r="AN100" i="5"/>
  <c r="AR100" i="5"/>
  <c r="AH101" i="5"/>
  <c r="AL101" i="5"/>
  <c r="AQ101" i="5"/>
  <c r="AG102" i="5"/>
  <c r="AK102" i="5"/>
  <c r="AP102" i="5"/>
  <c r="AJ103" i="5"/>
  <c r="AI104" i="5"/>
  <c r="AN104" i="5"/>
  <c r="AR104" i="5"/>
  <c r="AH105" i="5"/>
  <c r="AL105" i="5"/>
  <c r="AQ105" i="5"/>
  <c r="AG106" i="5"/>
  <c r="AK106" i="5"/>
  <c r="AP106" i="5"/>
  <c r="AJ107" i="5"/>
  <c r="AI108" i="5"/>
  <c r="AN108" i="5"/>
  <c r="AR108" i="5"/>
  <c r="AH109" i="5"/>
  <c r="AL109" i="5"/>
  <c r="AQ109" i="5"/>
  <c r="AG110" i="5"/>
  <c r="AK110" i="5"/>
  <c r="AP110" i="5"/>
  <c r="AJ111" i="5"/>
  <c r="AI112" i="5"/>
  <c r="AN112" i="5"/>
  <c r="AR112" i="5"/>
  <c r="AH113" i="5"/>
  <c r="AL113" i="5"/>
  <c r="AQ113" i="5"/>
  <c r="AG114" i="5"/>
  <c r="AK114" i="5"/>
  <c r="AP114" i="5"/>
  <c r="AJ115" i="5"/>
  <c r="AI116" i="5"/>
  <c r="AN116" i="5"/>
  <c r="AR116" i="5"/>
  <c r="AH117" i="5"/>
  <c r="AL117" i="5"/>
  <c r="AQ117" i="5"/>
  <c r="AG118" i="5"/>
  <c r="AK118" i="5"/>
  <c r="AP118" i="5"/>
  <c r="AJ119" i="5"/>
  <c r="AI120" i="5"/>
  <c r="AN120" i="5"/>
  <c r="AR120" i="5"/>
  <c r="AH121" i="5"/>
  <c r="AL121" i="5"/>
  <c r="AQ121" i="5"/>
  <c r="AG122" i="5"/>
  <c r="AK122" i="5"/>
  <c r="AP122" i="5"/>
  <c r="AJ123" i="5"/>
  <c r="AI124" i="5"/>
  <c r="AN124" i="5"/>
  <c r="AR124" i="5"/>
  <c r="AH125" i="5"/>
  <c r="AL125" i="5"/>
  <c r="AQ125" i="5"/>
  <c r="AG126" i="5"/>
  <c r="AK126" i="5"/>
  <c r="AP126" i="5"/>
  <c r="AJ127" i="5"/>
  <c r="AI128" i="5"/>
  <c r="AN128" i="5"/>
  <c r="AR128" i="5"/>
  <c r="AH129" i="5"/>
  <c r="AJ5" i="5"/>
  <c r="AI10" i="5"/>
  <c r="AL14" i="5"/>
  <c r="AK19" i="5"/>
  <c r="AR21" i="5"/>
  <c r="AJ24" i="5"/>
  <c r="AQ26" i="5"/>
  <c r="AI29" i="5"/>
  <c r="AP31" i="5"/>
  <c r="AH35" i="5"/>
  <c r="AK36" i="5"/>
  <c r="AR38" i="5"/>
  <c r="AG40" i="5"/>
  <c r="AJ41" i="5"/>
  <c r="AN42" i="5"/>
  <c r="AQ43" i="5"/>
  <c r="AI46" i="5"/>
  <c r="AL47" i="5"/>
  <c r="AP48" i="5"/>
  <c r="AH51" i="5"/>
  <c r="AK52" i="5"/>
  <c r="AI53" i="5"/>
  <c r="AR53" i="5"/>
  <c r="AL54" i="5"/>
  <c r="AG55" i="5"/>
  <c r="AP55" i="5"/>
  <c r="AJ56" i="5"/>
  <c r="AN57" i="5"/>
  <c r="AH58" i="5"/>
  <c r="AQ58" i="5"/>
  <c r="AK59" i="5"/>
  <c r="AI61" i="5"/>
  <c r="AR61" i="5"/>
  <c r="AL62" i="5"/>
  <c r="AG63" i="5"/>
  <c r="AP63" i="5"/>
  <c r="AJ64" i="5"/>
  <c r="AN65" i="5"/>
  <c r="AH66" i="5"/>
  <c r="AQ66" i="5"/>
  <c r="AK67" i="5"/>
  <c r="AI69" i="5"/>
  <c r="AR69" i="5"/>
  <c r="AL70" i="5"/>
  <c r="AG71" i="5"/>
  <c r="AP71" i="5"/>
  <c r="AJ72" i="5"/>
  <c r="AN73" i="5"/>
  <c r="AH74" i="5"/>
  <c r="AQ74" i="5"/>
  <c r="AK75" i="5"/>
  <c r="AI77" i="5"/>
  <c r="AR77" i="5"/>
  <c r="AL78" i="5"/>
  <c r="AG79" i="5"/>
  <c r="AP79" i="5"/>
  <c r="AJ80" i="5"/>
  <c r="AI81" i="5"/>
  <c r="AN81" i="5"/>
  <c r="AR81" i="5"/>
  <c r="AH82" i="5"/>
  <c r="AL82" i="5"/>
  <c r="AQ82" i="5"/>
  <c r="AG83" i="5"/>
  <c r="AK83" i="5"/>
  <c r="AP83" i="5"/>
  <c r="AJ84" i="5"/>
  <c r="AI85" i="5"/>
  <c r="AN85" i="5"/>
  <c r="AR85" i="5"/>
  <c r="AH86" i="5"/>
  <c r="AL86" i="5"/>
  <c r="AQ86" i="5"/>
  <c r="AG87" i="5"/>
  <c r="AK87" i="5"/>
  <c r="AP87" i="5"/>
  <c r="AJ88" i="5"/>
  <c r="AI89" i="5"/>
  <c r="AN89" i="5"/>
  <c r="AR89" i="5"/>
  <c r="AH90" i="5"/>
  <c r="AL90" i="5"/>
  <c r="AQ90" i="5"/>
  <c r="AG91" i="5"/>
  <c r="AK91" i="5"/>
  <c r="AP91" i="5"/>
  <c r="AJ92" i="5"/>
  <c r="AI93" i="5"/>
  <c r="AN93" i="5"/>
  <c r="AR93" i="5"/>
  <c r="AH94" i="5"/>
  <c r="AL94" i="5"/>
  <c r="AQ94" i="5"/>
  <c r="AG95" i="5"/>
  <c r="AK95" i="5"/>
  <c r="AP95" i="5"/>
  <c r="AJ96" i="5"/>
  <c r="AI97" i="5"/>
  <c r="AN97" i="5"/>
  <c r="AR97" i="5"/>
  <c r="AH98" i="5"/>
  <c r="AL98" i="5"/>
  <c r="AQ98" i="5"/>
  <c r="AG99" i="5"/>
  <c r="AK99" i="5"/>
  <c r="AP99" i="5"/>
  <c r="AJ100" i="5"/>
  <c r="AI101" i="5"/>
  <c r="AN101" i="5"/>
  <c r="AR101" i="5"/>
  <c r="AH102" i="5"/>
  <c r="AL102" i="5"/>
  <c r="AQ102" i="5"/>
  <c r="AG103" i="5"/>
  <c r="AK103" i="5"/>
  <c r="AP103" i="5"/>
  <c r="AJ104" i="5"/>
  <c r="AI105" i="5"/>
  <c r="AN105" i="5"/>
  <c r="AR105" i="5"/>
  <c r="AH106" i="5"/>
  <c r="AL106" i="5"/>
  <c r="AQ106" i="5"/>
  <c r="AG107" i="5"/>
  <c r="AK107" i="5"/>
  <c r="AP107" i="5"/>
  <c r="AJ108" i="5"/>
  <c r="AI109" i="5"/>
  <c r="AN109" i="5"/>
  <c r="AR109" i="5"/>
  <c r="AH110" i="5"/>
  <c r="AL110" i="5"/>
  <c r="AQ110" i="5"/>
  <c r="AG111" i="5"/>
  <c r="AK111" i="5"/>
  <c r="AP111" i="5"/>
  <c r="AJ112" i="5"/>
  <c r="AI113" i="5"/>
  <c r="AN113" i="5"/>
  <c r="AR113" i="5"/>
  <c r="AH114" i="5"/>
  <c r="AL114" i="5"/>
  <c r="AQ114" i="5"/>
  <c r="AG115" i="5"/>
  <c r="AK115" i="5"/>
  <c r="AP115" i="5"/>
  <c r="AJ116" i="5"/>
  <c r="AI117" i="5"/>
  <c r="AN117" i="5"/>
  <c r="AR117" i="5"/>
  <c r="AH118" i="5"/>
  <c r="AL118" i="5"/>
  <c r="AQ118" i="5"/>
  <c r="AG119" i="5"/>
  <c r="AK119" i="5"/>
  <c r="AP119" i="5"/>
  <c r="AJ120" i="5"/>
  <c r="AI121" i="5"/>
  <c r="AN121" i="5"/>
  <c r="AR121" i="5"/>
  <c r="AH122" i="5"/>
  <c r="AL122" i="5"/>
  <c r="AQ122" i="5"/>
  <c r="AG123" i="5"/>
  <c r="AK123" i="5"/>
  <c r="AP123" i="5"/>
  <c r="AJ124" i="5"/>
  <c r="AI125" i="5"/>
  <c r="AN125" i="5"/>
  <c r="AR125" i="5"/>
  <c r="AH126" i="5"/>
  <c r="AL126" i="5"/>
  <c r="AQ126" i="5"/>
  <c r="AG127" i="5"/>
  <c r="AK127" i="5"/>
  <c r="AP127" i="5"/>
  <c r="AJ128" i="5"/>
  <c r="AI129" i="5"/>
  <c r="AN6" i="5"/>
  <c r="AL11" i="5"/>
  <c r="AG15" i="5"/>
  <c r="AN17" i="5"/>
  <c r="AL22" i="5"/>
  <c r="AK27" i="5"/>
  <c r="AR29" i="5"/>
  <c r="AJ32" i="5"/>
  <c r="AH34" i="5"/>
  <c r="AK35" i="5"/>
  <c r="AR37" i="5"/>
  <c r="AG39" i="5"/>
  <c r="AJ40" i="5"/>
  <c r="AN41" i="5"/>
  <c r="AQ42" i="5"/>
  <c r="AI45" i="5"/>
  <c r="AL46" i="5"/>
  <c r="AP47" i="5"/>
  <c r="AH50" i="5"/>
  <c r="AK51" i="5"/>
  <c r="AJ53" i="5"/>
  <c r="AN54" i="5"/>
  <c r="AH55" i="5"/>
  <c r="AQ55" i="5"/>
  <c r="AK56" i="5"/>
  <c r="AI58" i="5"/>
  <c r="AR58" i="5"/>
  <c r="AL59" i="5"/>
  <c r="AG60" i="5"/>
  <c r="AP60" i="5"/>
  <c r="AJ61" i="5"/>
  <c r="AN62" i="5"/>
  <c r="AH63" i="5"/>
  <c r="AQ63" i="5"/>
  <c r="AK64" i="5"/>
  <c r="AI66" i="5"/>
  <c r="AR66" i="5"/>
  <c r="AL67" i="5"/>
  <c r="AG68" i="5"/>
  <c r="AP68" i="5"/>
  <c r="AJ69" i="5"/>
  <c r="AN70" i="5"/>
  <c r="AH71" i="5"/>
  <c r="AQ71" i="5"/>
  <c r="AK72" i="5"/>
  <c r="AI74" i="5"/>
  <c r="AR74" i="5"/>
  <c r="AL75" i="5"/>
  <c r="AG76" i="5"/>
  <c r="AP76" i="5"/>
  <c r="AJ77" i="5"/>
  <c r="AN78" i="5"/>
  <c r="AH79" i="5"/>
  <c r="AQ79" i="5"/>
  <c r="AK80" i="5"/>
  <c r="AP80" i="5"/>
  <c r="AJ81" i="5"/>
  <c r="AI82" i="5"/>
  <c r="AN82" i="5"/>
  <c r="AR82" i="5"/>
  <c r="AH83" i="5"/>
  <c r="AL83" i="5"/>
  <c r="AQ83" i="5"/>
  <c r="AG84" i="5"/>
  <c r="AP15" i="5"/>
  <c r="AN25" i="5"/>
  <c r="AN34" i="5"/>
  <c r="AL39" i="5"/>
  <c r="AK44" i="5"/>
  <c r="AJ49" i="5"/>
  <c r="AN53" i="5"/>
  <c r="AL58" i="5"/>
  <c r="AK63" i="5"/>
  <c r="AR65" i="5"/>
  <c r="AJ68" i="5"/>
  <c r="AQ70" i="5"/>
  <c r="AI73" i="5"/>
  <c r="AP75" i="5"/>
  <c r="AH78" i="5"/>
  <c r="AL80" i="5"/>
  <c r="AP81" i="5"/>
  <c r="AH84" i="5"/>
  <c r="AQ84" i="5"/>
  <c r="AK85" i="5"/>
  <c r="AI87" i="5"/>
  <c r="AR87" i="5"/>
  <c r="AL88" i="5"/>
  <c r="AG89" i="5"/>
  <c r="AP89" i="5"/>
  <c r="AJ90" i="5"/>
  <c r="AN91" i="5"/>
  <c r="AH92" i="5"/>
  <c r="AQ92" i="5"/>
  <c r="AK93" i="5"/>
  <c r="AI95" i="5"/>
  <c r="AR95" i="5"/>
  <c r="AL96" i="5"/>
  <c r="AG97" i="5"/>
  <c r="AP97" i="5"/>
  <c r="AJ98" i="5"/>
  <c r="AN99" i="5"/>
  <c r="AH100" i="5"/>
  <c r="AQ100" i="5"/>
  <c r="AK101" i="5"/>
  <c r="AI103" i="5"/>
  <c r="AR103" i="5"/>
  <c r="AL104" i="5"/>
  <c r="AG105" i="5"/>
  <c r="AP105" i="5"/>
  <c r="AJ106" i="5"/>
  <c r="AN107" i="5"/>
  <c r="AH108" i="5"/>
  <c r="AQ108" i="5"/>
  <c r="AK109" i="5"/>
  <c r="AI111" i="5"/>
  <c r="AR111" i="5"/>
  <c r="AL112" i="5"/>
  <c r="AG113" i="5"/>
  <c r="AP113" i="5"/>
  <c r="AJ114" i="5"/>
  <c r="AN115" i="5"/>
  <c r="AH116" i="5"/>
  <c r="AQ116" i="5"/>
  <c r="AK117" i="5"/>
  <c r="AI119" i="5"/>
  <c r="AR119" i="5"/>
  <c r="AL120" i="5"/>
  <c r="AG121" i="5"/>
  <c r="AP121" i="5"/>
  <c r="AJ122" i="5"/>
  <c r="AN123" i="5"/>
  <c r="AH124" i="5"/>
  <c r="AQ124" i="5"/>
  <c r="AK125" i="5"/>
  <c r="AI127" i="5"/>
  <c r="AR127" i="5"/>
  <c r="AL128" i="5"/>
  <c r="AG129" i="5"/>
  <c r="AN129" i="5"/>
  <c r="AR129" i="5"/>
  <c r="AH130" i="5"/>
  <c r="AL130" i="5"/>
  <c r="AQ130" i="5"/>
  <c r="AG131" i="5"/>
  <c r="AK131" i="5"/>
  <c r="AP131" i="5"/>
  <c r="AJ132" i="5"/>
  <c r="AI133" i="5"/>
  <c r="AN133" i="5"/>
  <c r="AR133" i="5"/>
  <c r="AH134" i="5"/>
  <c r="AL134" i="5"/>
  <c r="AQ134" i="5"/>
  <c r="AG135" i="5"/>
  <c r="AK135" i="5"/>
  <c r="AP135" i="5"/>
  <c r="AJ136" i="5"/>
  <c r="AI137" i="5"/>
  <c r="AN137" i="5"/>
  <c r="AR137" i="5"/>
  <c r="AH138" i="5"/>
  <c r="AL138" i="5"/>
  <c r="AQ138" i="5"/>
  <c r="AG139" i="5"/>
  <c r="AK139" i="5"/>
  <c r="AP139" i="5"/>
  <c r="AJ140" i="5"/>
  <c r="AI141" i="5"/>
  <c r="AN141" i="5"/>
  <c r="AR141" i="5"/>
  <c r="AH142" i="5"/>
  <c r="AL142" i="5"/>
  <c r="AQ142" i="5"/>
  <c r="AG143" i="5"/>
  <c r="AK143" i="5"/>
  <c r="AP143" i="5"/>
  <c r="AJ144" i="5"/>
  <c r="AI145" i="5"/>
  <c r="AN145" i="5"/>
  <c r="AR145" i="5"/>
  <c r="AH146" i="5"/>
  <c r="AL146" i="5"/>
  <c r="AQ146" i="5"/>
  <c r="AG147" i="5"/>
  <c r="AK147" i="5"/>
  <c r="AP147" i="5"/>
  <c r="AJ148" i="5"/>
  <c r="AI149" i="5"/>
  <c r="AN149" i="5"/>
  <c r="AR149" i="5"/>
  <c r="AH150" i="5"/>
  <c r="AL150" i="5"/>
  <c r="AQ150" i="5"/>
  <c r="AG151" i="5"/>
  <c r="AK151" i="5"/>
  <c r="AP151" i="5"/>
  <c r="AJ152" i="5"/>
  <c r="AI153" i="5"/>
  <c r="AN153" i="5"/>
  <c r="AR153" i="5"/>
  <c r="AH154" i="5"/>
  <c r="AL154" i="5"/>
  <c r="AQ154" i="5"/>
  <c r="AG155" i="5"/>
  <c r="AK155" i="5"/>
  <c r="AP155" i="5"/>
  <c r="AJ156" i="5"/>
  <c r="AI157" i="5"/>
  <c r="AN157" i="5"/>
  <c r="AR157" i="5"/>
  <c r="AH158" i="5"/>
  <c r="AL158" i="5"/>
  <c r="AQ158" i="5"/>
  <c r="AG159" i="5"/>
  <c r="AK159" i="5"/>
  <c r="AP159" i="5"/>
  <c r="AJ160" i="5"/>
  <c r="AI161" i="5"/>
  <c r="AN161" i="5"/>
  <c r="AR161" i="5"/>
  <c r="AH162" i="5"/>
  <c r="AL162" i="5"/>
  <c r="AQ162" i="5"/>
  <c r="AG163" i="5"/>
  <c r="AK163" i="5"/>
  <c r="AP163" i="5"/>
  <c r="AJ164" i="5"/>
  <c r="AI165" i="5"/>
  <c r="AN165" i="5"/>
  <c r="AR165" i="5"/>
  <c r="AH166" i="5"/>
  <c r="AL166" i="5"/>
  <c r="AQ166" i="5"/>
  <c r="AG167" i="5"/>
  <c r="AK167" i="5"/>
  <c r="AP167" i="5"/>
  <c r="AJ168" i="5"/>
  <c r="AI169" i="5"/>
  <c r="AN169" i="5"/>
  <c r="AR169" i="5"/>
  <c r="AH170" i="5"/>
  <c r="AL170" i="5"/>
  <c r="AQ170" i="5"/>
  <c r="AG171" i="5"/>
  <c r="AK171" i="5"/>
  <c r="AP171" i="5"/>
  <c r="AJ172" i="5"/>
  <c r="AI173" i="5"/>
  <c r="AN173" i="5"/>
  <c r="AR173" i="5"/>
  <c r="AH174" i="5"/>
  <c r="AL174" i="5"/>
  <c r="AQ174" i="5"/>
  <c r="AH18" i="5"/>
  <c r="AQ35" i="5"/>
  <c r="AP40" i="5"/>
  <c r="AN50" i="5"/>
  <c r="AH54" i="5"/>
  <c r="AG59" i="5"/>
  <c r="AN61" i="5"/>
  <c r="AL66" i="5"/>
  <c r="AK71" i="5"/>
  <c r="AR73" i="5"/>
  <c r="AJ76" i="5"/>
  <c r="AQ78" i="5"/>
  <c r="AQ80" i="5"/>
  <c r="AI83" i="5"/>
  <c r="AK84" i="5"/>
  <c r="AI86" i="5"/>
  <c r="AR86" i="5"/>
  <c r="AL87" i="5"/>
  <c r="AG88" i="5"/>
  <c r="AP88" i="5"/>
  <c r="AJ89" i="5"/>
  <c r="AN90" i="5"/>
  <c r="AH91" i="5"/>
  <c r="AQ91" i="5"/>
  <c r="AK92" i="5"/>
  <c r="AI94" i="5"/>
  <c r="AR94" i="5"/>
  <c r="AL95" i="5"/>
  <c r="AG96" i="5"/>
  <c r="AP96" i="5"/>
  <c r="AJ97" i="5"/>
  <c r="AN98" i="5"/>
  <c r="AH99" i="5"/>
  <c r="AQ99" i="5"/>
  <c r="AK100" i="5"/>
  <c r="AI102" i="5"/>
  <c r="AR102" i="5"/>
  <c r="AL103" i="5"/>
  <c r="AG104" i="5"/>
  <c r="AP104" i="5"/>
  <c r="AJ105" i="5"/>
  <c r="AN106" i="5"/>
  <c r="AH107" i="5"/>
  <c r="AQ107" i="5"/>
  <c r="AK108" i="5"/>
  <c r="AI110" i="5"/>
  <c r="AR110" i="5"/>
  <c r="AL111" i="5"/>
  <c r="AG112" i="5"/>
  <c r="AP112" i="5"/>
  <c r="AJ113" i="5"/>
  <c r="AN114" i="5"/>
  <c r="AH115" i="5"/>
  <c r="AQ115" i="5"/>
  <c r="AK116" i="5"/>
  <c r="AI118" i="5"/>
  <c r="AR118" i="5"/>
  <c r="AL119" i="5"/>
  <c r="AG120" i="5"/>
  <c r="AP120" i="5"/>
  <c r="AJ121" i="5"/>
  <c r="AN122" i="5"/>
  <c r="AH123" i="5"/>
  <c r="AQ123" i="5"/>
  <c r="AK124" i="5"/>
  <c r="AI126" i="5"/>
  <c r="AR126" i="5"/>
  <c r="AL127" i="5"/>
  <c r="AG128" i="5"/>
  <c r="AP128" i="5"/>
  <c r="AJ129" i="5"/>
  <c r="AI130" i="5"/>
  <c r="AN130" i="5"/>
  <c r="AR130" i="5"/>
  <c r="AH131" i="5"/>
  <c r="AL131" i="5"/>
  <c r="AQ131" i="5"/>
  <c r="AG132" i="5"/>
  <c r="AK132" i="5"/>
  <c r="AP132" i="5"/>
  <c r="AJ133" i="5"/>
  <c r="AI134" i="5"/>
  <c r="AN134" i="5"/>
  <c r="AR134" i="5"/>
  <c r="AH135" i="5"/>
  <c r="AL135" i="5"/>
  <c r="AQ135" i="5"/>
  <c r="AG136" i="5"/>
  <c r="AK136" i="5"/>
  <c r="AP136" i="5"/>
  <c r="AJ137" i="5"/>
  <c r="AI138" i="5"/>
  <c r="AN138" i="5"/>
  <c r="AR138" i="5"/>
  <c r="AH139" i="5"/>
  <c r="AL139" i="5"/>
  <c r="AQ139" i="5"/>
  <c r="AG140" i="5"/>
  <c r="AK140" i="5"/>
  <c r="AP140" i="5"/>
  <c r="AJ141" i="5"/>
  <c r="AI142" i="5"/>
  <c r="AN142" i="5"/>
  <c r="AR142" i="5"/>
  <c r="AH143" i="5"/>
  <c r="AL143" i="5"/>
  <c r="AQ143" i="5"/>
  <c r="AG144" i="5"/>
  <c r="AK144" i="5"/>
  <c r="AP144" i="5"/>
  <c r="AJ145" i="5"/>
  <c r="AI146" i="5"/>
  <c r="AN146" i="5"/>
  <c r="AR146" i="5"/>
  <c r="AH147" i="5"/>
  <c r="AL147" i="5"/>
  <c r="AQ147" i="5"/>
  <c r="AG148" i="5"/>
  <c r="AK148" i="5"/>
  <c r="AP148" i="5"/>
  <c r="AJ149" i="5"/>
  <c r="AI150" i="5"/>
  <c r="AN150" i="5"/>
  <c r="AR150" i="5"/>
  <c r="AH151" i="5"/>
  <c r="AL151" i="5"/>
  <c r="AQ151" i="5"/>
  <c r="AG152" i="5"/>
  <c r="AK152" i="5"/>
  <c r="AP152" i="5"/>
  <c r="AJ153" i="5"/>
  <c r="AI154" i="5"/>
  <c r="AN154" i="5"/>
  <c r="AR154" i="5"/>
  <c r="AH155" i="5"/>
  <c r="AL155" i="5"/>
  <c r="AQ155" i="5"/>
  <c r="AG156" i="5"/>
  <c r="AK156" i="5"/>
  <c r="AP156" i="5"/>
  <c r="AJ157" i="5"/>
  <c r="AI158" i="5"/>
  <c r="AN158" i="5"/>
  <c r="AR158" i="5"/>
  <c r="AH159" i="5"/>
  <c r="AL159" i="5"/>
  <c r="AQ159" i="5"/>
  <c r="AG160" i="5"/>
  <c r="AK160" i="5"/>
  <c r="AP160" i="5"/>
  <c r="AJ161" i="5"/>
  <c r="AI162" i="5"/>
  <c r="AN162" i="5"/>
  <c r="AR162" i="5"/>
  <c r="AH163" i="5"/>
  <c r="AL163" i="5"/>
  <c r="AQ163" i="5"/>
  <c r="AG164" i="5"/>
  <c r="AK164" i="5"/>
  <c r="AP164" i="5"/>
  <c r="AJ165" i="5"/>
  <c r="AI166" i="5"/>
  <c r="AN166" i="5"/>
  <c r="AR166" i="5"/>
  <c r="AH167" i="5"/>
  <c r="AL167" i="5"/>
  <c r="AQ167" i="5"/>
  <c r="AG168" i="5"/>
  <c r="AK168" i="5"/>
  <c r="AP168" i="5"/>
  <c r="AJ169" i="5"/>
  <c r="AI170" i="5"/>
  <c r="AN170" i="5"/>
  <c r="AR170" i="5"/>
  <c r="AH171" i="5"/>
  <c r="AL171" i="5"/>
  <c r="AQ171" i="5"/>
  <c r="AG172" i="5"/>
  <c r="AK172" i="5"/>
  <c r="AP172" i="5"/>
  <c r="AJ173" i="5"/>
  <c r="AI174" i="5"/>
  <c r="AN174" i="5"/>
  <c r="AR174" i="5"/>
  <c r="AQ7" i="5"/>
  <c r="AL30" i="5"/>
  <c r="AR46" i="5"/>
  <c r="AQ51" i="5"/>
  <c r="AQ54" i="5"/>
  <c r="AI57" i="5"/>
  <c r="AP59" i="5"/>
  <c r="AH62" i="5"/>
  <c r="AG67" i="5"/>
  <c r="AN69" i="5"/>
  <c r="AL74" i="5"/>
  <c r="AK79" i="5"/>
  <c r="AG81" i="5"/>
  <c r="AJ82" i="5"/>
  <c r="AN83" i="5"/>
  <c r="AL84" i="5"/>
  <c r="AG85" i="5"/>
  <c r="AP85" i="5"/>
  <c r="AJ86" i="5"/>
  <c r="AN87" i="5"/>
  <c r="AH88" i="5"/>
  <c r="AQ88" i="5"/>
  <c r="AK89" i="5"/>
  <c r="AI91" i="5"/>
  <c r="AR91" i="5"/>
  <c r="AL92" i="5"/>
  <c r="AG93" i="5"/>
  <c r="AP93" i="5"/>
  <c r="AJ94" i="5"/>
  <c r="AN95" i="5"/>
  <c r="AH96" i="5"/>
  <c r="AQ96" i="5"/>
  <c r="AK97" i="5"/>
  <c r="AI99" i="5"/>
  <c r="AR99" i="5"/>
  <c r="AL100" i="5"/>
  <c r="AG101" i="5"/>
  <c r="AP101" i="5"/>
  <c r="AJ102" i="5"/>
  <c r="AN103" i="5"/>
  <c r="AH104" i="5"/>
  <c r="AQ104" i="5"/>
  <c r="AK105" i="5"/>
  <c r="AI107" i="5"/>
  <c r="AR107" i="5"/>
  <c r="AL108" i="5"/>
  <c r="AG109" i="5"/>
  <c r="AP109" i="5"/>
  <c r="AJ110" i="5"/>
  <c r="AN111" i="5"/>
  <c r="AH112" i="5"/>
  <c r="AQ112" i="5"/>
  <c r="AK113" i="5"/>
  <c r="AI115" i="5"/>
  <c r="AR115" i="5"/>
  <c r="AL116" i="5"/>
  <c r="AG117" i="5"/>
  <c r="AP117" i="5"/>
  <c r="AJ118" i="5"/>
  <c r="AN119" i="5"/>
  <c r="AH120" i="5"/>
  <c r="AQ120" i="5"/>
  <c r="AK121" i="5"/>
  <c r="AI123" i="5"/>
  <c r="AR123" i="5"/>
  <c r="AL124" i="5"/>
  <c r="AG125" i="5"/>
  <c r="AP125" i="5"/>
  <c r="AJ126" i="5"/>
  <c r="AN127" i="5"/>
  <c r="AH128" i="5"/>
  <c r="AQ128" i="5"/>
  <c r="AK129" i="5"/>
  <c r="AP129" i="5"/>
  <c r="AJ130" i="5"/>
  <c r="AI131" i="5"/>
  <c r="AN131" i="5"/>
  <c r="AR131" i="5"/>
  <c r="AH132" i="5"/>
  <c r="AL132" i="5"/>
  <c r="AQ132" i="5"/>
  <c r="AG133" i="5"/>
  <c r="AK133" i="5"/>
  <c r="AP133" i="5"/>
  <c r="AJ134" i="5"/>
  <c r="AI135" i="5"/>
  <c r="AN135" i="5"/>
  <c r="AR135" i="5"/>
  <c r="AH136" i="5"/>
  <c r="AL136" i="5"/>
  <c r="AQ136" i="5"/>
  <c r="AG137" i="5"/>
  <c r="AK137" i="5"/>
  <c r="AP137" i="5"/>
  <c r="AJ138" i="5"/>
  <c r="AI139" i="5"/>
  <c r="AN139" i="5"/>
  <c r="AR139" i="5"/>
  <c r="AH140" i="5"/>
  <c r="AL140" i="5"/>
  <c r="AQ140" i="5"/>
  <c r="AG141" i="5"/>
  <c r="AK141" i="5"/>
  <c r="AP141" i="5"/>
  <c r="AJ142" i="5"/>
  <c r="AI143" i="5"/>
  <c r="AN143" i="5"/>
  <c r="AR143" i="5"/>
  <c r="AH144" i="5"/>
  <c r="AL144" i="5"/>
  <c r="AQ144" i="5"/>
  <c r="AG145" i="5"/>
  <c r="AK145" i="5"/>
  <c r="AP145" i="5"/>
  <c r="AJ146" i="5"/>
  <c r="AI147" i="5"/>
  <c r="AN147" i="5"/>
  <c r="AR147" i="5"/>
  <c r="AH148" i="5"/>
  <c r="AL148" i="5"/>
  <c r="AQ148" i="5"/>
  <c r="AG149" i="5"/>
  <c r="AK149" i="5"/>
  <c r="AP149" i="5"/>
  <c r="AJ150" i="5"/>
  <c r="AI151" i="5"/>
  <c r="AN151" i="5"/>
  <c r="AR151" i="5"/>
  <c r="AH152" i="5"/>
  <c r="AL152" i="5"/>
  <c r="AP12" i="5"/>
  <c r="AH43" i="5"/>
  <c r="AR57" i="5"/>
  <c r="AP67" i="5"/>
  <c r="AN77" i="5"/>
  <c r="AR83" i="5"/>
  <c r="AN86" i="5"/>
  <c r="AL91" i="5"/>
  <c r="AK96" i="5"/>
  <c r="AR98" i="5"/>
  <c r="AJ101" i="5"/>
  <c r="AQ103" i="5"/>
  <c r="AI106" i="5"/>
  <c r="AP108" i="5"/>
  <c r="AH111" i="5"/>
  <c r="AG116" i="5"/>
  <c r="AN118" i="5"/>
  <c r="AL123" i="5"/>
  <c r="AK128" i="5"/>
  <c r="AG130" i="5"/>
  <c r="AJ131" i="5"/>
  <c r="AN132" i="5"/>
  <c r="AQ133" i="5"/>
  <c r="AI136" i="5"/>
  <c r="AL137" i="5"/>
  <c r="AP138" i="5"/>
  <c r="AH141" i="5"/>
  <c r="AK142" i="5"/>
  <c r="AR144" i="5"/>
  <c r="AG146" i="5"/>
  <c r="AJ147" i="5"/>
  <c r="AN148" i="5"/>
  <c r="AQ149" i="5"/>
  <c r="AI152" i="5"/>
  <c r="AG153" i="5"/>
  <c r="AP153" i="5"/>
  <c r="AJ154" i="5"/>
  <c r="AN155" i="5"/>
  <c r="AH156" i="5"/>
  <c r="AQ156" i="5"/>
  <c r="AK157" i="5"/>
  <c r="AI159" i="5"/>
  <c r="AR159" i="5"/>
  <c r="AL160" i="5"/>
  <c r="AG161" i="5"/>
  <c r="AP161" i="5"/>
  <c r="AJ162" i="5"/>
  <c r="AN163" i="5"/>
  <c r="AH164" i="5"/>
  <c r="AQ164" i="5"/>
  <c r="AK165" i="5"/>
  <c r="AI167" i="5"/>
  <c r="AR167" i="5"/>
  <c r="AL168" i="5"/>
  <c r="AG169" i="5"/>
  <c r="AP169" i="5"/>
  <c r="AJ170" i="5"/>
  <c r="AN171" i="5"/>
  <c r="AH172" i="5"/>
  <c r="AQ172" i="5"/>
  <c r="AK173" i="5"/>
  <c r="AG23" i="5"/>
  <c r="AG48" i="5"/>
  <c r="AJ60" i="5"/>
  <c r="AH70" i="5"/>
  <c r="AP84" i="5"/>
  <c r="AH87" i="5"/>
  <c r="AG92" i="5"/>
  <c r="AN94" i="5"/>
  <c r="AL99" i="5"/>
  <c r="AK104" i="5"/>
  <c r="AR106" i="5"/>
  <c r="AJ109" i="5"/>
  <c r="AQ111" i="5"/>
  <c r="AI114" i="5"/>
  <c r="AP116" i="5"/>
  <c r="AH119" i="5"/>
  <c r="AG124" i="5"/>
  <c r="AN126" i="5"/>
  <c r="AK130" i="5"/>
  <c r="AR132" i="5"/>
  <c r="AG134" i="5"/>
  <c r="AJ135" i="5"/>
  <c r="AN136" i="5"/>
  <c r="AQ137" i="5"/>
  <c r="AI140" i="5"/>
  <c r="AL141" i="5"/>
  <c r="AP142" i="5"/>
  <c r="AH145" i="5"/>
  <c r="AK146" i="5"/>
  <c r="AR148" i="5"/>
  <c r="AG150" i="5"/>
  <c r="AJ151" i="5"/>
  <c r="AN152" i="5"/>
  <c r="AH153" i="5"/>
  <c r="AQ153" i="5"/>
  <c r="AK154" i="5"/>
  <c r="AI156" i="5"/>
  <c r="AR156" i="5"/>
  <c r="AL157" i="5"/>
  <c r="AG158" i="5"/>
  <c r="AP158" i="5"/>
  <c r="AJ159" i="5"/>
  <c r="AN160" i="5"/>
  <c r="AH161" i="5"/>
  <c r="AQ161" i="5"/>
  <c r="AK162" i="5"/>
  <c r="AI164" i="5"/>
  <c r="AR164" i="5"/>
  <c r="AL165" i="5"/>
  <c r="AG166" i="5"/>
  <c r="AP166" i="5"/>
  <c r="AJ167" i="5"/>
  <c r="AN168" i="5"/>
  <c r="AH169" i="5"/>
  <c r="AQ169" i="5"/>
  <c r="AK170" i="5"/>
  <c r="AI172" i="5"/>
  <c r="AR172" i="5"/>
  <c r="AL173" i="5"/>
  <c r="AG174" i="5"/>
  <c r="AP174" i="5"/>
  <c r="AQ62" i="5"/>
  <c r="AK81" i="5"/>
  <c r="AJ85" i="5"/>
  <c r="AQ87" i="5"/>
  <c r="AI90" i="5"/>
  <c r="AP92" i="5"/>
  <c r="AH95" i="5"/>
  <c r="AG100" i="5"/>
  <c r="AN102" i="5"/>
  <c r="AL107" i="5"/>
  <c r="AK112" i="5"/>
  <c r="AR114" i="5"/>
  <c r="AJ117" i="5"/>
  <c r="AQ119" i="5"/>
  <c r="AI122" i="5"/>
  <c r="AP124" i="5"/>
  <c r="AH127" i="5"/>
  <c r="AL129" i="5"/>
  <c r="AP130" i="5"/>
  <c r="AH133" i="5"/>
  <c r="AK134" i="5"/>
  <c r="AR136" i="5"/>
  <c r="AG138" i="5"/>
  <c r="AJ139" i="5"/>
  <c r="AN140" i="5"/>
  <c r="AQ141" i="5"/>
  <c r="AI144" i="5"/>
  <c r="AL145" i="5"/>
  <c r="AP146" i="5"/>
  <c r="AH149" i="5"/>
  <c r="AK150" i="5"/>
  <c r="AQ152" i="5"/>
  <c r="AK153" i="5"/>
  <c r="AI155" i="5"/>
  <c r="AR155" i="5"/>
  <c r="AL156" i="5"/>
  <c r="AG157" i="5"/>
  <c r="AP157" i="5"/>
  <c r="AJ158" i="5"/>
  <c r="AN159" i="5"/>
  <c r="AH160" i="5"/>
  <c r="AQ160" i="5"/>
  <c r="AK161" i="5"/>
  <c r="AI163" i="5"/>
  <c r="AR163" i="5"/>
  <c r="AL164" i="5"/>
  <c r="AG165" i="5"/>
  <c r="AP165" i="5"/>
  <c r="AJ166" i="5"/>
  <c r="AN167" i="5"/>
  <c r="AH168" i="5"/>
  <c r="AQ168" i="5"/>
  <c r="AK169" i="5"/>
  <c r="AI171" i="5"/>
  <c r="AR171" i="5"/>
  <c r="AL172" i="5"/>
  <c r="AG173" i="5"/>
  <c r="AP173" i="5"/>
  <c r="AJ174" i="5"/>
  <c r="AI38" i="5"/>
  <c r="AJ93" i="5"/>
  <c r="AH103" i="5"/>
  <c r="AR122" i="5"/>
  <c r="AR140" i="5"/>
  <c r="AQ145" i="5"/>
  <c r="AP150" i="5"/>
  <c r="AG154" i="5"/>
  <c r="AN156" i="5"/>
  <c r="AL161" i="5"/>
  <c r="AK166" i="5"/>
  <c r="AR168" i="5"/>
  <c r="AJ171" i="5"/>
  <c r="AQ173" i="5"/>
  <c r="AK55" i="5"/>
  <c r="AQ95" i="5"/>
  <c r="AL115" i="5"/>
  <c r="AJ125" i="5"/>
  <c r="AI132" i="5"/>
  <c r="AH137" i="5"/>
  <c r="AG142" i="5"/>
  <c r="AP154" i="5"/>
  <c r="AH157" i="5"/>
  <c r="AG162" i="5"/>
  <c r="AN164" i="5"/>
  <c r="AL169" i="5"/>
  <c r="AK174" i="5"/>
  <c r="AI65" i="5"/>
  <c r="AK88" i="5"/>
  <c r="AI98" i="5"/>
  <c r="AG108" i="5"/>
  <c r="AQ127" i="5"/>
  <c r="AL133" i="5"/>
  <c r="AK138" i="5"/>
  <c r="AJ143" i="5"/>
  <c r="AI148" i="5"/>
  <c r="AR152" i="5"/>
  <c r="AJ155" i="5"/>
  <c r="AQ157" i="5"/>
  <c r="AI160" i="5"/>
  <c r="AP162" i="5"/>
  <c r="AH165" i="5"/>
  <c r="AG170" i="5"/>
  <c r="AN172" i="5"/>
  <c r="AG75" i="5"/>
  <c r="AK120" i="5"/>
  <c r="AN144" i="5"/>
  <c r="AK158" i="5"/>
  <c r="AI168" i="5"/>
  <c r="AR90" i="5"/>
  <c r="AQ129" i="5"/>
  <c r="AL149" i="5"/>
  <c r="AR160" i="5"/>
  <c r="AP170" i="5"/>
  <c r="AP100" i="5"/>
  <c r="AP134" i="5"/>
  <c r="AL153" i="5"/>
  <c r="AJ163" i="5"/>
  <c r="AH173" i="5"/>
  <c r="AN110" i="5"/>
  <c r="AO139" i="5"/>
  <c r="AQ165" i="5"/>
  <c r="AI43" i="5"/>
  <c r="AO155" i="5"/>
  <c r="AO147" i="5"/>
  <c r="AO131" i="5"/>
  <c r="AO123" i="5"/>
  <c r="AO160" i="5"/>
  <c r="AO152" i="5"/>
  <c r="AO144" i="5"/>
  <c r="AO136" i="5"/>
  <c r="AO128" i="5"/>
  <c r="AO120" i="5"/>
  <c r="AO153" i="5"/>
  <c r="AO137" i="5"/>
  <c r="AO121" i="5"/>
  <c r="AO171" i="5"/>
  <c r="AO143" i="5"/>
  <c r="AO127" i="5"/>
  <c r="AO119" i="5"/>
  <c r="AO163" i="5"/>
  <c r="AO156" i="5"/>
  <c r="AO148" i="5"/>
  <c r="AO140" i="5"/>
  <c r="AO132" i="5"/>
  <c r="AO124" i="5"/>
  <c r="AO145" i="5"/>
  <c r="AO129" i="5"/>
  <c r="AO167" i="5"/>
  <c r="AO159" i="5"/>
  <c r="AO151" i="5"/>
  <c r="AO157" i="5"/>
  <c r="AO125" i="5"/>
  <c r="AO165" i="5"/>
  <c r="AO150" i="5"/>
  <c r="AO126" i="5"/>
  <c r="AO166" i="5"/>
  <c r="AO162" i="5"/>
  <c r="AO170" i="5"/>
  <c r="AO172" i="5"/>
  <c r="AO149" i="5"/>
  <c r="AO133" i="5"/>
  <c r="AO161" i="5"/>
  <c r="AO154" i="5"/>
  <c r="AO146" i="5"/>
  <c r="AO138" i="5"/>
  <c r="AO130" i="5"/>
  <c r="AO122" i="5"/>
  <c r="AO174" i="5"/>
  <c r="AO175" i="5"/>
  <c r="AO169" i="5"/>
  <c r="AO135" i="5"/>
  <c r="AO173" i="5"/>
  <c r="AO142" i="5"/>
  <c r="AO118" i="5"/>
  <c r="AO141" i="5"/>
  <c r="AO158" i="5"/>
  <c r="AO134" i="5"/>
  <c r="AO168" i="5"/>
  <c r="AG43" i="5"/>
  <c r="AO164" i="5"/>
  <c r="AM167" i="5"/>
  <c r="AR43" i="5"/>
  <c r="AM172" i="5"/>
  <c r="AM139" i="5"/>
  <c r="AM150" i="5"/>
  <c r="AM132" i="5"/>
  <c r="AM158" i="5"/>
  <c r="AM137" i="5"/>
  <c r="AM129" i="5"/>
  <c r="AM144" i="5"/>
  <c r="AM169" i="5"/>
  <c r="AM147" i="5"/>
  <c r="AN43" i="5"/>
  <c r="AM134" i="5"/>
  <c r="AM130" i="5"/>
  <c r="AM136" i="5"/>
  <c r="AM118" i="5"/>
  <c r="AM119" i="5"/>
  <c r="AM166" i="5"/>
  <c r="AP43" i="5"/>
  <c r="AM149" i="5"/>
  <c r="AM142" i="5"/>
  <c r="AM171" i="5"/>
  <c r="AM161" i="5"/>
  <c r="AM127" i="5"/>
  <c r="AM155" i="5"/>
  <c r="AM128" i="5"/>
  <c r="AM151" i="5"/>
  <c r="AM123" i="5"/>
  <c r="AM140" i="5"/>
  <c r="AM154" i="5"/>
  <c r="AM174" i="5"/>
  <c r="AM165" i="5"/>
  <c r="AM175" i="5"/>
  <c r="AM170" i="5"/>
  <c r="AM126" i="5"/>
  <c r="AM125" i="5"/>
  <c r="AM162" i="5"/>
  <c r="AM159" i="5"/>
  <c r="AM138" i="5"/>
  <c r="AM163" i="5"/>
  <c r="AM131" i="5"/>
  <c r="AM157" i="5"/>
  <c r="AM146" i="5"/>
  <c r="AM120" i="5"/>
  <c r="AM173" i="5"/>
  <c r="AM153" i="5"/>
  <c r="AM124" i="5"/>
  <c r="AM141" i="5"/>
  <c r="AM148" i="5"/>
  <c r="AM133" i="5"/>
  <c r="AM121" i="5"/>
  <c r="AM156" i="5"/>
  <c r="AM135" i="5"/>
  <c r="AM122" i="5"/>
  <c r="AM160" i="5"/>
  <c r="AM143" i="5"/>
  <c r="AM145" i="5"/>
  <c r="AM152" i="5"/>
  <c r="AM168" i="5"/>
  <c r="AM164" i="5"/>
  <c r="AO44" i="5"/>
  <c r="AO79" i="5"/>
  <c r="AO89" i="5"/>
  <c r="AO62" i="5"/>
  <c r="AO95" i="5"/>
  <c r="AO55" i="5"/>
  <c r="AO39" i="5"/>
  <c r="AO27" i="5"/>
  <c r="AO98" i="5"/>
  <c r="AO43" i="5"/>
  <c r="AO16" i="5"/>
  <c r="AO13" i="5"/>
  <c r="AO102" i="5"/>
  <c r="AO30" i="5"/>
  <c r="AO60" i="5"/>
  <c r="AO32" i="5"/>
  <c r="AO101" i="5"/>
  <c r="AO63" i="5"/>
  <c r="AO83" i="5"/>
  <c r="AO52" i="5"/>
  <c r="AO24" i="5"/>
  <c r="AO117" i="5"/>
  <c r="AO70" i="5"/>
  <c r="AO106" i="5"/>
  <c r="AO28" i="5"/>
  <c r="AO116" i="5"/>
  <c r="AO41" i="5"/>
  <c r="AO110" i="5"/>
  <c r="AO18" i="5"/>
  <c r="AO104" i="5"/>
  <c r="AO68" i="5"/>
  <c r="AO49" i="5"/>
  <c r="AO108" i="5"/>
  <c r="AO54" i="5"/>
  <c r="AO111" i="5"/>
  <c r="AO47" i="5"/>
  <c r="AO15" i="5"/>
  <c r="AO48" i="5"/>
  <c r="AO64" i="5"/>
  <c r="AO80" i="5"/>
  <c r="AO99" i="5"/>
  <c r="AO45" i="5"/>
  <c r="AO61" i="5"/>
  <c r="AO77" i="5"/>
  <c r="AO93" i="5"/>
  <c r="AO100" i="5"/>
  <c r="AO17" i="5"/>
  <c r="AO33" i="5"/>
  <c r="AO58" i="5"/>
  <c r="AO74" i="5"/>
  <c r="AO90" i="5"/>
  <c r="AO26" i="5"/>
  <c r="AO51" i="5"/>
  <c r="AO67" i="5"/>
  <c r="AO87" i="5"/>
  <c r="AO113" i="5"/>
  <c r="AO96" i="5"/>
  <c r="AO57" i="5"/>
  <c r="AO10" i="5"/>
  <c r="AO20" i="5"/>
  <c r="AO105" i="5"/>
  <c r="AO71" i="5"/>
  <c r="AO38" i="5"/>
  <c r="AO36" i="5"/>
  <c r="AO94" i="5"/>
  <c r="AO34" i="5"/>
  <c r="AO92" i="5"/>
  <c r="AO81" i="5"/>
  <c r="AO78" i="5"/>
  <c r="AO22" i="5"/>
  <c r="AO31" i="5"/>
  <c r="AO23" i="5"/>
  <c r="AO56" i="5"/>
  <c r="AO88" i="5"/>
  <c r="AO115" i="5"/>
  <c r="AO12" i="5"/>
  <c r="AO53" i="5"/>
  <c r="AO69" i="5"/>
  <c r="AO85" i="5"/>
  <c r="AO109" i="5"/>
  <c r="AO9" i="5"/>
  <c r="AO25" i="5"/>
  <c r="AO50" i="5"/>
  <c r="AO66" i="5"/>
  <c r="AO42" i="5"/>
  <c r="AO59" i="5"/>
  <c r="AO75" i="5"/>
  <c r="AO97" i="5"/>
  <c r="AO84" i="5"/>
  <c r="AO65" i="5"/>
  <c r="AO5" i="5"/>
  <c r="AO86" i="5"/>
  <c r="AO6" i="5"/>
  <c r="AO7" i="5"/>
  <c r="AO19" i="5"/>
  <c r="AO35" i="5"/>
  <c r="AO114" i="5"/>
  <c r="AO8" i="5"/>
  <c r="AO40" i="5"/>
  <c r="AO21" i="5"/>
  <c r="AO14" i="5"/>
  <c r="AO11" i="5"/>
  <c r="AO76" i="5"/>
  <c r="AO73" i="5"/>
  <c r="AO37" i="5"/>
  <c r="AO91" i="5"/>
  <c r="AO107" i="5"/>
  <c r="AO46" i="5"/>
  <c r="AO112" i="5"/>
  <c r="AO29" i="5"/>
  <c r="AO103" i="5"/>
  <c r="AO72" i="5"/>
  <c r="AO82" i="5"/>
  <c r="AO3" i="5"/>
  <c r="AO4" i="5"/>
  <c r="AM20" i="5"/>
  <c r="AM115" i="5"/>
  <c r="AM27" i="5"/>
  <c r="AM32" i="5"/>
  <c r="AM106" i="5"/>
  <c r="AM49" i="5"/>
  <c r="AM80" i="5"/>
  <c r="AM33" i="5"/>
  <c r="AM113" i="5"/>
  <c r="AM96" i="5"/>
  <c r="AM21" i="5"/>
  <c r="AM62" i="5"/>
  <c r="AM66" i="5"/>
  <c r="AM35" i="5"/>
  <c r="AM36" i="5"/>
  <c r="AM12" i="5"/>
  <c r="AM109" i="5"/>
  <c r="AM102" i="5"/>
  <c r="AM70" i="5"/>
  <c r="AM68" i="5"/>
  <c r="AM64" i="5"/>
  <c r="AM17" i="5"/>
  <c r="AM87" i="5"/>
  <c r="AM37" i="5"/>
  <c r="AM103" i="5"/>
  <c r="AM101" i="5"/>
  <c r="AM19" i="5"/>
  <c r="AM46" i="5"/>
  <c r="AM88" i="5"/>
  <c r="AM55" i="5"/>
  <c r="AM117" i="5"/>
  <c r="AM48" i="5"/>
  <c r="AM67" i="5"/>
  <c r="AM59" i="5"/>
  <c r="AM6" i="5"/>
  <c r="AM57" i="5"/>
  <c r="AM23" i="5"/>
  <c r="AM112" i="5"/>
  <c r="AM16" i="5"/>
  <c r="AM24" i="5"/>
  <c r="AM15" i="5"/>
  <c r="AM93" i="5"/>
  <c r="AM51" i="5"/>
  <c r="AM29" i="5"/>
  <c r="AM86" i="5"/>
  <c r="AM31" i="5"/>
  <c r="AM53" i="5"/>
  <c r="AM25" i="5"/>
  <c r="AM43" i="5"/>
  <c r="AM63" i="5"/>
  <c r="AM116" i="5"/>
  <c r="AM54" i="5"/>
  <c r="AM45" i="5"/>
  <c r="AM74" i="5"/>
  <c r="AM84" i="5"/>
  <c r="AM94" i="5"/>
  <c r="AM22" i="5"/>
  <c r="AM72" i="5"/>
  <c r="AM14" i="5"/>
  <c r="AM92" i="5"/>
  <c r="AM9" i="5"/>
  <c r="AM89" i="5"/>
  <c r="AM60" i="5"/>
  <c r="AM28" i="5"/>
  <c r="AM108" i="5"/>
  <c r="AM99" i="5"/>
  <c r="AM58" i="5"/>
  <c r="AM82" i="5"/>
  <c r="AM38" i="5"/>
  <c r="AM44" i="5"/>
  <c r="AM75" i="5"/>
  <c r="AM8" i="5"/>
  <c r="AM10" i="5"/>
  <c r="AM69" i="5"/>
  <c r="AM5" i="5"/>
  <c r="AM42" i="5"/>
  <c r="AM39" i="5"/>
  <c r="AM41" i="5"/>
  <c r="AM111" i="5"/>
  <c r="AM61" i="5"/>
  <c r="AM7" i="5"/>
  <c r="AM105" i="5"/>
  <c r="AM65" i="5"/>
  <c r="AM81" i="5"/>
  <c r="AM50" i="5"/>
  <c r="AM34" i="5"/>
  <c r="AM30" i="5"/>
  <c r="AM104" i="5"/>
  <c r="AM100" i="5"/>
  <c r="AM11" i="5"/>
  <c r="AM56" i="5"/>
  <c r="AM18" i="5"/>
  <c r="AM40" i="5"/>
  <c r="AM98" i="5"/>
  <c r="AM91" i="5"/>
  <c r="AM97" i="5"/>
  <c r="AM107" i="5"/>
  <c r="AM79" i="5"/>
  <c r="AM13" i="5"/>
  <c r="AM52" i="5"/>
  <c r="AM110" i="5"/>
  <c r="AM47" i="5"/>
  <c r="AM77" i="5"/>
  <c r="AM26" i="5"/>
  <c r="AM114" i="5"/>
  <c r="AM71" i="5"/>
  <c r="AM85" i="5"/>
  <c r="AM73" i="5"/>
  <c r="AM78" i="5"/>
  <c r="AM83" i="5"/>
  <c r="AM90" i="5"/>
  <c r="AM95" i="5"/>
  <c r="AM76" i="5"/>
  <c r="AM4" i="5"/>
  <c r="AM3" i="5"/>
  <c r="AM177" i="5" l="1"/>
  <c r="AM179" i="5" s="1"/>
  <c r="AO177" i="5"/>
  <c r="AO179" i="5" s="1"/>
  <c r="AS162" i="5"/>
  <c r="AT162" i="5" s="1"/>
  <c r="AS165" i="5"/>
  <c r="AT165" i="5" s="1"/>
  <c r="AS138" i="5"/>
  <c r="AT138" i="5" s="1"/>
  <c r="AS125" i="5"/>
  <c r="AT125" i="5" s="1"/>
  <c r="AS93" i="5"/>
  <c r="AT93" i="5" s="1"/>
  <c r="AS120" i="5"/>
  <c r="J120" i="4" s="1"/>
  <c r="L120" i="4" s="1"/>
  <c r="AS39" i="5"/>
  <c r="J39" i="4" s="1"/>
  <c r="L39" i="4" s="1"/>
  <c r="AS103" i="5"/>
  <c r="AT103" i="5" s="1"/>
  <c r="AS9" i="5"/>
  <c r="J9" i="4" s="1"/>
  <c r="L9" i="4" s="1"/>
  <c r="AS38" i="5"/>
  <c r="J38" i="4" s="1"/>
  <c r="L38" i="4" s="1"/>
  <c r="AS154" i="5"/>
  <c r="AS109" i="5"/>
  <c r="AS104" i="5"/>
  <c r="AS88" i="5"/>
  <c r="AS171" i="5"/>
  <c r="AS163" i="5"/>
  <c r="AS155" i="5"/>
  <c r="AS147" i="5"/>
  <c r="AS139" i="5"/>
  <c r="AS131" i="5"/>
  <c r="AS121" i="5"/>
  <c r="AS105" i="5"/>
  <c r="AS89" i="5"/>
  <c r="AS84" i="5"/>
  <c r="AS127" i="5"/>
  <c r="AS119" i="5"/>
  <c r="AS111" i="5"/>
  <c r="AS95" i="5"/>
  <c r="AS87" i="5"/>
  <c r="AS51" i="5"/>
  <c r="AS27" i="5"/>
  <c r="AT9" i="5"/>
  <c r="AS46" i="5"/>
  <c r="AS30" i="5"/>
  <c r="AS22" i="5"/>
  <c r="AS14" i="5"/>
  <c r="AS5" i="5"/>
  <c r="AS45" i="5"/>
  <c r="AS7" i="5"/>
  <c r="AP177" i="5"/>
  <c r="AS10" i="5"/>
  <c r="J162" i="4"/>
  <c r="L162" i="4" s="1"/>
  <c r="AS174" i="5"/>
  <c r="AS161" i="5"/>
  <c r="AS170" i="5"/>
  <c r="AS108" i="5"/>
  <c r="AS150" i="5"/>
  <c r="AS92" i="5"/>
  <c r="AS130" i="5"/>
  <c r="AS116" i="5"/>
  <c r="AS149" i="5"/>
  <c r="AS141" i="5"/>
  <c r="AS133" i="5"/>
  <c r="AS172" i="5"/>
  <c r="AS164" i="5"/>
  <c r="AS156" i="5"/>
  <c r="AS148" i="5"/>
  <c r="AS140" i="5"/>
  <c r="AS132" i="5"/>
  <c r="AS59" i="5"/>
  <c r="AS68" i="5"/>
  <c r="AS15" i="5"/>
  <c r="AS71" i="5"/>
  <c r="AS55" i="5"/>
  <c r="AS40" i="5"/>
  <c r="AS126" i="5"/>
  <c r="AS118" i="5"/>
  <c r="AS110" i="5"/>
  <c r="AS102" i="5"/>
  <c r="AS94" i="5"/>
  <c r="AS86" i="5"/>
  <c r="AS80" i="5"/>
  <c r="AS64" i="5"/>
  <c r="AS32" i="5"/>
  <c r="AS16" i="5"/>
  <c r="AS78" i="5"/>
  <c r="AS70" i="5"/>
  <c r="AS62" i="5"/>
  <c r="AS54" i="5"/>
  <c r="AS73" i="5"/>
  <c r="AS65" i="5"/>
  <c r="AS57" i="5"/>
  <c r="AS52" i="5"/>
  <c r="AS36" i="5"/>
  <c r="AS20" i="5"/>
  <c r="AS37" i="5"/>
  <c r="AS29" i="5"/>
  <c r="AS21" i="5"/>
  <c r="AS8" i="5"/>
  <c r="AK177" i="5"/>
  <c r="AJ177" i="5"/>
  <c r="AS158" i="5"/>
  <c r="AS173" i="5"/>
  <c r="AS157" i="5"/>
  <c r="AS166" i="5"/>
  <c r="AS48" i="5"/>
  <c r="AS169" i="5"/>
  <c r="AS153" i="5"/>
  <c r="AS117" i="5"/>
  <c r="AS101" i="5"/>
  <c r="AS85" i="5"/>
  <c r="AS81" i="5"/>
  <c r="AS67" i="5"/>
  <c r="AS128" i="5"/>
  <c r="AS112" i="5"/>
  <c r="AS96" i="5"/>
  <c r="AS167" i="5"/>
  <c r="AS159" i="5"/>
  <c r="AS151" i="5"/>
  <c r="AS143" i="5"/>
  <c r="AS135" i="5"/>
  <c r="AS129" i="5"/>
  <c r="AS113" i="5"/>
  <c r="AS97" i="5"/>
  <c r="AS123" i="5"/>
  <c r="AS115" i="5"/>
  <c r="AS107" i="5"/>
  <c r="AS99" i="5"/>
  <c r="AS91" i="5"/>
  <c r="AS83" i="5"/>
  <c r="AS47" i="5"/>
  <c r="AS4" i="5"/>
  <c r="AS35" i="5"/>
  <c r="AS19" i="5"/>
  <c r="AS12" i="5"/>
  <c r="AS50" i="5"/>
  <c r="AS42" i="5"/>
  <c r="AS34" i="5"/>
  <c r="AS26" i="5"/>
  <c r="AS18" i="5"/>
  <c r="AS13" i="5"/>
  <c r="AR177" i="5"/>
  <c r="AS49" i="5"/>
  <c r="AQ177" i="5"/>
  <c r="AS11" i="5"/>
  <c r="AS3" i="5"/>
  <c r="AG177" i="5"/>
  <c r="AS6" i="5"/>
  <c r="AS43" i="5"/>
  <c r="J125" i="4"/>
  <c r="L125" i="4" s="1"/>
  <c r="AS75" i="5"/>
  <c r="AS142" i="5"/>
  <c r="AS100" i="5"/>
  <c r="AS134" i="5"/>
  <c r="AS124" i="5"/>
  <c r="AS23" i="5"/>
  <c r="AS146" i="5"/>
  <c r="AS145" i="5"/>
  <c r="AS137" i="5"/>
  <c r="AS168" i="5"/>
  <c r="AS160" i="5"/>
  <c r="AS152" i="5"/>
  <c r="AS144" i="5"/>
  <c r="AS136" i="5"/>
  <c r="AS76" i="5"/>
  <c r="AS60" i="5"/>
  <c r="AS79" i="5"/>
  <c r="AS63" i="5"/>
  <c r="AS122" i="5"/>
  <c r="AS114" i="5"/>
  <c r="AS106" i="5"/>
  <c r="AS98" i="5"/>
  <c r="AS90" i="5"/>
  <c r="AS82" i="5"/>
  <c r="AS72" i="5"/>
  <c r="AS56" i="5"/>
  <c r="AS31" i="5"/>
  <c r="AS24" i="5"/>
  <c r="AN177" i="5"/>
  <c r="AS74" i="5"/>
  <c r="AS66" i="5"/>
  <c r="AS58" i="5"/>
  <c r="AL177" i="5"/>
  <c r="AS77" i="5"/>
  <c r="AS69" i="5"/>
  <c r="AS61" i="5"/>
  <c r="AS53" i="5"/>
  <c r="AS44" i="5"/>
  <c r="AS28" i="5"/>
  <c r="AI177" i="5"/>
  <c r="AS41" i="5"/>
  <c r="AS33" i="5"/>
  <c r="AS25" i="5"/>
  <c r="AS17" i="5"/>
  <c r="AH177" i="5"/>
  <c r="AS175" i="5"/>
  <c r="AT39" i="5" l="1"/>
  <c r="J103" i="4"/>
  <c r="L103" i="4" s="1"/>
  <c r="J93" i="4"/>
  <c r="L93" i="4" s="1"/>
  <c r="AT38" i="5"/>
  <c r="J165" i="4"/>
  <c r="L165" i="4" s="1"/>
  <c r="S165" i="4" s="1"/>
  <c r="J138" i="4"/>
  <c r="L138" i="4" s="1"/>
  <c r="S138" i="4" s="1"/>
  <c r="AT120" i="5"/>
  <c r="AN179" i="5"/>
  <c r="AT106" i="5"/>
  <c r="J106" i="4"/>
  <c r="L106" i="4" s="1"/>
  <c r="AT144" i="5"/>
  <c r="J144" i="4"/>
  <c r="L144" i="4" s="1"/>
  <c r="AT124" i="5"/>
  <c r="J124" i="4"/>
  <c r="L124" i="4" s="1"/>
  <c r="AT75" i="5"/>
  <c r="J75" i="4"/>
  <c r="L75" i="4" s="1"/>
  <c r="AT3" i="5"/>
  <c r="AS177" i="5"/>
  <c r="AI178" i="5" s="1"/>
  <c r="J3" i="4"/>
  <c r="AK179" i="5"/>
  <c r="AT37" i="5"/>
  <c r="J37" i="4"/>
  <c r="L37" i="4" s="1"/>
  <c r="AT57" i="5"/>
  <c r="J57" i="4"/>
  <c r="L57" i="4" s="1"/>
  <c r="AT62" i="5"/>
  <c r="J62" i="4"/>
  <c r="L62" i="4" s="1"/>
  <c r="AT32" i="5"/>
  <c r="J32" i="4"/>
  <c r="L32" i="4" s="1"/>
  <c r="AT94" i="5"/>
  <c r="J94" i="4"/>
  <c r="L94" i="4" s="1"/>
  <c r="AT126" i="5"/>
  <c r="J126" i="4"/>
  <c r="L126" i="4" s="1"/>
  <c r="AT15" i="5"/>
  <c r="J15" i="4"/>
  <c r="L15" i="4" s="1"/>
  <c r="AT140" i="5"/>
  <c r="J140" i="4"/>
  <c r="L140" i="4" s="1"/>
  <c r="AT172" i="5"/>
  <c r="J172" i="4"/>
  <c r="L172" i="4" s="1"/>
  <c r="AT116" i="5"/>
  <c r="J116" i="4"/>
  <c r="L116" i="4" s="1"/>
  <c r="AT108" i="5"/>
  <c r="J108" i="4"/>
  <c r="L108" i="4" s="1"/>
  <c r="AT161" i="5"/>
  <c r="J161" i="4"/>
  <c r="L161" i="4" s="1"/>
  <c r="AT7" i="5"/>
  <c r="J7" i="4"/>
  <c r="L7" i="4" s="1"/>
  <c r="AT22" i="5"/>
  <c r="J22" i="4"/>
  <c r="L22" i="4" s="1"/>
  <c r="AT46" i="5"/>
  <c r="J46" i="4"/>
  <c r="L46" i="4" s="1"/>
  <c r="AT51" i="5"/>
  <c r="J51" i="4"/>
  <c r="L51" i="4" s="1"/>
  <c r="AT131" i="5"/>
  <c r="J131" i="4"/>
  <c r="L131" i="4" s="1"/>
  <c r="AT163" i="5"/>
  <c r="J163" i="4"/>
  <c r="L163" i="4" s="1"/>
  <c r="AH179" i="5"/>
  <c r="AT53" i="5"/>
  <c r="J53" i="4"/>
  <c r="L53" i="4" s="1"/>
  <c r="AT84" i="5"/>
  <c r="J84" i="4"/>
  <c r="L84" i="4" s="1"/>
  <c r="AT17" i="5"/>
  <c r="J17" i="4"/>
  <c r="L17" i="4" s="1"/>
  <c r="AI179" i="5"/>
  <c r="AT61" i="5"/>
  <c r="J61" i="4"/>
  <c r="L61" i="4" s="1"/>
  <c r="AT58" i="5"/>
  <c r="J58" i="4"/>
  <c r="L58" i="4" s="1"/>
  <c r="AT24" i="5"/>
  <c r="J24" i="4"/>
  <c r="L24" i="4" s="1"/>
  <c r="AT82" i="5"/>
  <c r="J82" i="4"/>
  <c r="L82" i="4" s="1"/>
  <c r="AT114" i="5"/>
  <c r="J114" i="4"/>
  <c r="L114" i="4" s="1"/>
  <c r="AT60" i="5"/>
  <c r="J60" i="4"/>
  <c r="L60" i="4" s="1"/>
  <c r="AT152" i="5"/>
  <c r="J152" i="4"/>
  <c r="L152" i="4" s="1"/>
  <c r="AT145" i="5"/>
  <c r="J145" i="4"/>
  <c r="L145" i="4" s="1"/>
  <c r="AT134" i="5"/>
  <c r="J134" i="4"/>
  <c r="L134" i="4" s="1"/>
  <c r="AC125" i="4"/>
  <c r="AE125" i="4" s="1"/>
  <c r="AF125" i="4" s="1"/>
  <c r="Y125" i="4"/>
  <c r="N125" i="4"/>
  <c r="Q125" i="4" s="1"/>
  <c r="S125" i="4"/>
  <c r="AT43" i="5"/>
  <c r="J43" i="4"/>
  <c r="L43" i="4" s="1"/>
  <c r="AT11" i="5"/>
  <c r="J11" i="4"/>
  <c r="L11" i="4" s="1"/>
  <c r="AT13" i="5"/>
  <c r="J13" i="4"/>
  <c r="L13" i="4" s="1"/>
  <c r="AT42" i="5"/>
  <c r="J42" i="4"/>
  <c r="L42" i="4" s="1"/>
  <c r="AT35" i="5"/>
  <c r="J35" i="4"/>
  <c r="L35" i="4" s="1"/>
  <c r="AT91" i="5"/>
  <c r="J91" i="4"/>
  <c r="L91" i="4" s="1"/>
  <c r="AT123" i="5"/>
  <c r="J123" i="4"/>
  <c r="L123" i="4" s="1"/>
  <c r="AT135" i="5"/>
  <c r="J135" i="4"/>
  <c r="L135" i="4" s="1"/>
  <c r="AT167" i="5"/>
  <c r="J167" i="4"/>
  <c r="L167" i="4" s="1"/>
  <c r="AT67" i="5"/>
  <c r="J67" i="4"/>
  <c r="L67" i="4" s="1"/>
  <c r="AT117" i="5"/>
  <c r="J117" i="4"/>
  <c r="L117" i="4" s="1"/>
  <c r="AT166" i="5"/>
  <c r="J166" i="4"/>
  <c r="L166" i="4" s="1"/>
  <c r="AT8" i="5"/>
  <c r="J8" i="4"/>
  <c r="L8" i="4" s="1"/>
  <c r="AT20" i="5"/>
  <c r="J20" i="4"/>
  <c r="L20" i="4" s="1"/>
  <c r="AT65" i="5"/>
  <c r="J65" i="4"/>
  <c r="L65" i="4" s="1"/>
  <c r="AT70" i="5"/>
  <c r="J70" i="4"/>
  <c r="L70" i="4" s="1"/>
  <c r="AT64" i="5"/>
  <c r="J64" i="4"/>
  <c r="L64" i="4" s="1"/>
  <c r="AT102" i="5"/>
  <c r="J102" i="4"/>
  <c r="L102" i="4" s="1"/>
  <c r="AT40" i="5"/>
  <c r="J40" i="4"/>
  <c r="L40" i="4" s="1"/>
  <c r="AT68" i="5"/>
  <c r="J68" i="4"/>
  <c r="L68" i="4" s="1"/>
  <c r="AT148" i="5"/>
  <c r="J148" i="4"/>
  <c r="L148" i="4" s="1"/>
  <c r="AT133" i="5"/>
  <c r="J133" i="4"/>
  <c r="L133" i="4" s="1"/>
  <c r="AT130" i="5"/>
  <c r="J130" i="4"/>
  <c r="L130" i="4" s="1"/>
  <c r="AT170" i="5"/>
  <c r="J170" i="4"/>
  <c r="L170" i="4" s="1"/>
  <c r="AT174" i="5"/>
  <c r="J174" i="4"/>
  <c r="L174" i="4" s="1"/>
  <c r="AT45" i="5"/>
  <c r="J45" i="4"/>
  <c r="L45" i="4" s="1"/>
  <c r="AT30" i="5"/>
  <c r="J30" i="4"/>
  <c r="L30" i="4" s="1"/>
  <c r="AC9" i="4"/>
  <c r="AE9" i="4" s="1"/>
  <c r="AF9" i="4" s="1"/>
  <c r="S9" i="4"/>
  <c r="N9" i="4"/>
  <c r="Q9" i="4" s="1"/>
  <c r="Y9" i="4"/>
  <c r="AT87" i="5"/>
  <c r="J87" i="4"/>
  <c r="L87" i="4" s="1"/>
  <c r="AT111" i="5"/>
  <c r="J111" i="4"/>
  <c r="L111" i="4" s="1"/>
  <c r="AT89" i="5"/>
  <c r="J89" i="4"/>
  <c r="L89" i="4" s="1"/>
  <c r="AT139" i="5"/>
  <c r="J139" i="4"/>
  <c r="L139" i="4" s="1"/>
  <c r="AT171" i="5"/>
  <c r="J171" i="4"/>
  <c r="L171" i="4" s="1"/>
  <c r="AT154" i="5"/>
  <c r="J154" i="4"/>
  <c r="L154" i="4" s="1"/>
  <c r="AL179" i="5"/>
  <c r="AT72" i="5"/>
  <c r="J72" i="4"/>
  <c r="L72" i="4" s="1"/>
  <c r="AT79" i="5"/>
  <c r="J79" i="4"/>
  <c r="L79" i="4" s="1"/>
  <c r="AT137" i="5"/>
  <c r="J137" i="4"/>
  <c r="L137" i="4" s="1"/>
  <c r="AR179" i="5"/>
  <c r="AT34" i="5"/>
  <c r="J34" i="4"/>
  <c r="L34" i="4" s="1"/>
  <c r="AT19" i="5"/>
  <c r="J19" i="4"/>
  <c r="L19" i="4" s="1"/>
  <c r="AT83" i="5"/>
  <c r="J83" i="4"/>
  <c r="L83" i="4" s="1"/>
  <c r="AT115" i="5"/>
  <c r="J115" i="4"/>
  <c r="L115" i="4" s="1"/>
  <c r="AT129" i="5"/>
  <c r="J129" i="4"/>
  <c r="L129" i="4" s="1"/>
  <c r="AT159" i="5"/>
  <c r="J159" i="4"/>
  <c r="L159" i="4" s="1"/>
  <c r="AT128" i="5"/>
  <c r="J128" i="4"/>
  <c r="L128" i="4" s="1"/>
  <c r="AT101" i="5"/>
  <c r="J101" i="4"/>
  <c r="L101" i="4" s="1"/>
  <c r="AT48" i="5"/>
  <c r="J48" i="4"/>
  <c r="L48" i="4" s="1"/>
  <c r="AC39" i="4"/>
  <c r="AE39" i="4" s="1"/>
  <c r="AF39" i="4" s="1"/>
  <c r="Y39" i="4"/>
  <c r="N39" i="4"/>
  <c r="Q39" i="4" s="1"/>
  <c r="S39" i="4"/>
  <c r="AC120" i="4"/>
  <c r="AE120" i="4" s="1"/>
  <c r="AF120" i="4" s="1"/>
  <c r="N120" i="4"/>
  <c r="Q120" i="4" s="1"/>
  <c r="Y120" i="4"/>
  <c r="S120" i="4"/>
  <c r="AT25" i="5"/>
  <c r="J25" i="4"/>
  <c r="L25" i="4" s="1"/>
  <c r="AT28" i="5"/>
  <c r="J28" i="4"/>
  <c r="L28" i="4" s="1"/>
  <c r="AT69" i="5"/>
  <c r="J69" i="4"/>
  <c r="L69" i="4" s="1"/>
  <c r="AT66" i="5"/>
  <c r="J66" i="4"/>
  <c r="L66" i="4" s="1"/>
  <c r="AT31" i="5"/>
  <c r="J31" i="4"/>
  <c r="L31" i="4" s="1"/>
  <c r="AT90" i="5"/>
  <c r="J90" i="4"/>
  <c r="L90" i="4" s="1"/>
  <c r="AT122" i="5"/>
  <c r="J122" i="4"/>
  <c r="L122" i="4" s="1"/>
  <c r="AT76" i="5"/>
  <c r="J76" i="4"/>
  <c r="L76" i="4" s="1"/>
  <c r="AT160" i="5"/>
  <c r="J160" i="4"/>
  <c r="L160" i="4" s="1"/>
  <c r="AT146" i="5"/>
  <c r="J146" i="4"/>
  <c r="L146" i="4" s="1"/>
  <c r="AT100" i="5"/>
  <c r="J100" i="4"/>
  <c r="L100" i="4" s="1"/>
  <c r="AT6" i="5"/>
  <c r="J6" i="4"/>
  <c r="L6" i="4" s="1"/>
  <c r="AQ179" i="5"/>
  <c r="AT18" i="5"/>
  <c r="J18" i="4"/>
  <c r="L18" i="4" s="1"/>
  <c r="AT50" i="5"/>
  <c r="J50" i="4"/>
  <c r="L50" i="4" s="1"/>
  <c r="AT4" i="5"/>
  <c r="J4" i="4"/>
  <c r="L4" i="4" s="1"/>
  <c r="AT99" i="5"/>
  <c r="J99" i="4"/>
  <c r="L99" i="4" s="1"/>
  <c r="AT97" i="5"/>
  <c r="J97" i="4"/>
  <c r="L97" i="4" s="1"/>
  <c r="AT143" i="5"/>
  <c r="J143" i="4"/>
  <c r="L143" i="4" s="1"/>
  <c r="AT96" i="5"/>
  <c r="J96" i="4"/>
  <c r="L96" i="4" s="1"/>
  <c r="AT81" i="5"/>
  <c r="J81" i="4"/>
  <c r="L81" i="4" s="1"/>
  <c r="AT153" i="5"/>
  <c r="J153" i="4"/>
  <c r="L153" i="4" s="1"/>
  <c r="AT157" i="5"/>
  <c r="J157" i="4"/>
  <c r="L157" i="4" s="1"/>
  <c r="AT158" i="5"/>
  <c r="J158" i="4"/>
  <c r="L158" i="4" s="1"/>
  <c r="AT21" i="5"/>
  <c r="J21" i="4"/>
  <c r="L21" i="4" s="1"/>
  <c r="AT36" i="5"/>
  <c r="J36" i="4"/>
  <c r="L36" i="4" s="1"/>
  <c r="AT73" i="5"/>
  <c r="J73" i="4"/>
  <c r="L73" i="4" s="1"/>
  <c r="AT78" i="5"/>
  <c r="J78" i="4"/>
  <c r="L78" i="4" s="1"/>
  <c r="AT80" i="5"/>
  <c r="J80" i="4"/>
  <c r="L80" i="4" s="1"/>
  <c r="AT110" i="5"/>
  <c r="J110" i="4"/>
  <c r="L110" i="4" s="1"/>
  <c r="AT55" i="5"/>
  <c r="J55" i="4"/>
  <c r="L55" i="4" s="1"/>
  <c r="AT59" i="5"/>
  <c r="J59" i="4"/>
  <c r="L59" i="4" s="1"/>
  <c r="AT156" i="5"/>
  <c r="J156" i="4"/>
  <c r="L156" i="4" s="1"/>
  <c r="AT141" i="5"/>
  <c r="J141" i="4"/>
  <c r="L141" i="4" s="1"/>
  <c r="AT92" i="5"/>
  <c r="J92" i="4"/>
  <c r="L92" i="4" s="1"/>
  <c r="AC93" i="4"/>
  <c r="AE93" i="4" s="1"/>
  <c r="AF93" i="4" s="1"/>
  <c r="N93" i="4"/>
  <c r="Q93" i="4" s="1"/>
  <c r="Y93" i="4"/>
  <c r="S93" i="4"/>
  <c r="N162" i="4"/>
  <c r="Q162" i="4" s="1"/>
  <c r="AC162" i="4"/>
  <c r="AE162" i="4" s="1"/>
  <c r="AF162" i="4" s="1"/>
  <c r="Y162" i="4"/>
  <c r="S162" i="4"/>
  <c r="AT10" i="5"/>
  <c r="J10" i="4"/>
  <c r="L10" i="4" s="1"/>
  <c r="AT5" i="5"/>
  <c r="J5" i="4"/>
  <c r="L5" i="4" s="1"/>
  <c r="AC38" i="4"/>
  <c r="AE38" i="4" s="1"/>
  <c r="AF38" i="4" s="1"/>
  <c r="Y38" i="4"/>
  <c r="N38" i="4"/>
  <c r="Q38" i="4" s="1"/>
  <c r="S38" i="4"/>
  <c r="AT95" i="5"/>
  <c r="J95" i="4"/>
  <c r="L95" i="4" s="1"/>
  <c r="AT119" i="5"/>
  <c r="J119" i="4"/>
  <c r="L119" i="4" s="1"/>
  <c r="AT105" i="5"/>
  <c r="J105" i="4"/>
  <c r="L105" i="4" s="1"/>
  <c r="AT147" i="5"/>
  <c r="J147" i="4"/>
  <c r="L147" i="4" s="1"/>
  <c r="AT88" i="5"/>
  <c r="J88" i="4"/>
  <c r="L88" i="4" s="1"/>
  <c r="AT109" i="5"/>
  <c r="J109" i="4"/>
  <c r="L109" i="4" s="1"/>
  <c r="AT41" i="5"/>
  <c r="J41" i="4"/>
  <c r="L41" i="4" s="1"/>
  <c r="AT175" i="5"/>
  <c r="J175" i="4"/>
  <c r="L175" i="4" s="1"/>
  <c r="AT33" i="5"/>
  <c r="J33" i="4"/>
  <c r="L33" i="4" s="1"/>
  <c r="AT44" i="5"/>
  <c r="J44" i="4"/>
  <c r="L44" i="4" s="1"/>
  <c r="AT77" i="5"/>
  <c r="J77" i="4"/>
  <c r="L77" i="4" s="1"/>
  <c r="AT74" i="5"/>
  <c r="J74" i="4"/>
  <c r="L74" i="4" s="1"/>
  <c r="AT56" i="5"/>
  <c r="J56" i="4"/>
  <c r="L56" i="4" s="1"/>
  <c r="AT98" i="5"/>
  <c r="J98" i="4"/>
  <c r="L98" i="4" s="1"/>
  <c r="AT63" i="5"/>
  <c r="J63" i="4"/>
  <c r="L63" i="4" s="1"/>
  <c r="AT136" i="5"/>
  <c r="J136" i="4"/>
  <c r="L136" i="4" s="1"/>
  <c r="AT168" i="5"/>
  <c r="J168" i="4"/>
  <c r="L168" i="4" s="1"/>
  <c r="AT23" i="5"/>
  <c r="J23" i="4"/>
  <c r="L23" i="4" s="1"/>
  <c r="AT142" i="5"/>
  <c r="J142" i="4"/>
  <c r="L142" i="4" s="1"/>
  <c r="AG179" i="5"/>
  <c r="AT49" i="5"/>
  <c r="J49" i="4"/>
  <c r="L49" i="4" s="1"/>
  <c r="AT26" i="5"/>
  <c r="J26" i="4"/>
  <c r="L26" i="4" s="1"/>
  <c r="AT12" i="5"/>
  <c r="J12" i="4"/>
  <c r="L12" i="4" s="1"/>
  <c r="AT47" i="5"/>
  <c r="J47" i="4"/>
  <c r="L47" i="4" s="1"/>
  <c r="AT107" i="5"/>
  <c r="J107" i="4"/>
  <c r="L107" i="4" s="1"/>
  <c r="AT113" i="5"/>
  <c r="J113" i="4"/>
  <c r="L113" i="4" s="1"/>
  <c r="AT151" i="5"/>
  <c r="J151" i="4"/>
  <c r="L151" i="4" s="1"/>
  <c r="AT112" i="5"/>
  <c r="J112" i="4"/>
  <c r="L112" i="4" s="1"/>
  <c r="AT85" i="5"/>
  <c r="J85" i="4"/>
  <c r="L85" i="4" s="1"/>
  <c r="AT169" i="5"/>
  <c r="J169" i="4"/>
  <c r="L169" i="4" s="1"/>
  <c r="AT173" i="5"/>
  <c r="J173" i="4"/>
  <c r="L173" i="4" s="1"/>
  <c r="AJ179" i="5"/>
  <c r="AT29" i="5"/>
  <c r="J29" i="4"/>
  <c r="L29" i="4" s="1"/>
  <c r="AT52" i="5"/>
  <c r="J52" i="4"/>
  <c r="L52" i="4" s="1"/>
  <c r="AT54" i="5"/>
  <c r="J54" i="4"/>
  <c r="L54" i="4" s="1"/>
  <c r="AT16" i="5"/>
  <c r="J16" i="4"/>
  <c r="L16" i="4" s="1"/>
  <c r="AT86" i="5"/>
  <c r="J86" i="4"/>
  <c r="L86" i="4" s="1"/>
  <c r="AT118" i="5"/>
  <c r="J118" i="4"/>
  <c r="L118" i="4" s="1"/>
  <c r="AT71" i="5"/>
  <c r="J71" i="4"/>
  <c r="L71" i="4" s="1"/>
  <c r="AT132" i="5"/>
  <c r="J132" i="4"/>
  <c r="L132" i="4" s="1"/>
  <c r="AT164" i="5"/>
  <c r="J164" i="4"/>
  <c r="L164" i="4" s="1"/>
  <c r="AT149" i="5"/>
  <c r="J149" i="4"/>
  <c r="L149" i="4" s="1"/>
  <c r="AT150" i="5"/>
  <c r="J150" i="4"/>
  <c r="L150" i="4" s="1"/>
  <c r="AP179" i="5"/>
  <c r="AT14" i="5"/>
  <c r="J14" i="4"/>
  <c r="L14" i="4" s="1"/>
  <c r="AT27" i="5"/>
  <c r="J27" i="4"/>
  <c r="L27" i="4" s="1"/>
  <c r="Y103" i="4"/>
  <c r="N103" i="4"/>
  <c r="Q103" i="4" s="1"/>
  <c r="AC103" i="4"/>
  <c r="AE103" i="4" s="1"/>
  <c r="AF103" i="4" s="1"/>
  <c r="S103" i="4"/>
  <c r="AT127" i="5"/>
  <c r="J127" i="4"/>
  <c r="L127" i="4" s="1"/>
  <c r="AT121" i="5"/>
  <c r="J121" i="4"/>
  <c r="L121" i="4" s="1"/>
  <c r="AT155" i="5"/>
  <c r="J155" i="4"/>
  <c r="L155" i="4" s="1"/>
  <c r="AT104" i="5"/>
  <c r="J104" i="4"/>
  <c r="L104" i="4" s="1"/>
  <c r="Y138" i="4"/>
  <c r="AC165" i="4" l="1"/>
  <c r="AE165" i="4" s="1"/>
  <c r="AF165" i="4" s="1"/>
  <c r="Y165" i="4"/>
  <c r="AA165" i="4" s="1"/>
  <c r="N138" i="4"/>
  <c r="Q138" i="4" s="1"/>
  <c r="V138" i="4" s="1"/>
  <c r="N165" i="4"/>
  <c r="Q165" i="4" s="1"/>
  <c r="AD165" i="4" s="1"/>
  <c r="AG165" i="4" s="1"/>
  <c r="AH165" i="4" s="1"/>
  <c r="AC138" i="4"/>
  <c r="AE138" i="4" s="1"/>
  <c r="AF138" i="4" s="1"/>
  <c r="AC168" i="4"/>
  <c r="AE168" i="4" s="1"/>
  <c r="AF168" i="4" s="1"/>
  <c r="N168" i="4"/>
  <c r="Q168" i="4" s="1"/>
  <c r="Y168" i="4"/>
  <c r="S168" i="4"/>
  <c r="AC77" i="4"/>
  <c r="AE77" i="4" s="1"/>
  <c r="AF77" i="4" s="1"/>
  <c r="N77" i="4"/>
  <c r="Q77" i="4" s="1"/>
  <c r="Y77" i="4"/>
  <c r="S77" i="4"/>
  <c r="Y88" i="4"/>
  <c r="AC88" i="4"/>
  <c r="AE88" i="4" s="1"/>
  <c r="AF88" i="4" s="1"/>
  <c r="N88" i="4"/>
  <c r="Q88" i="4" s="1"/>
  <c r="S88" i="4"/>
  <c r="U38" i="4"/>
  <c r="V38" i="4"/>
  <c r="AD38" i="4"/>
  <c r="AG38" i="4" s="1"/>
  <c r="AH38" i="4" s="1"/>
  <c r="AC170" i="4"/>
  <c r="AE170" i="4" s="1"/>
  <c r="AF170" i="4" s="1"/>
  <c r="Y170" i="4"/>
  <c r="N170" i="4"/>
  <c r="Q170" i="4" s="1"/>
  <c r="S170" i="4"/>
  <c r="AC68" i="4"/>
  <c r="AE68" i="4" s="1"/>
  <c r="AF68" i="4" s="1"/>
  <c r="N68" i="4"/>
  <c r="Q68" i="4" s="1"/>
  <c r="S68" i="4"/>
  <c r="Y68" i="4"/>
  <c r="AC70" i="4"/>
  <c r="AE70" i="4" s="1"/>
  <c r="AF70" i="4" s="1"/>
  <c r="S70" i="4"/>
  <c r="Y70" i="4"/>
  <c r="N70" i="4"/>
  <c r="Q70" i="4" s="1"/>
  <c r="AC166" i="4"/>
  <c r="AE166" i="4" s="1"/>
  <c r="AF166" i="4" s="1"/>
  <c r="N166" i="4"/>
  <c r="Q166" i="4" s="1"/>
  <c r="S166" i="4"/>
  <c r="Y166" i="4"/>
  <c r="N135" i="4"/>
  <c r="Q135" i="4" s="1"/>
  <c r="S135" i="4"/>
  <c r="AC135" i="4"/>
  <c r="AE135" i="4" s="1"/>
  <c r="AF135" i="4" s="1"/>
  <c r="Y135" i="4"/>
  <c r="AC11" i="4"/>
  <c r="AE11" i="4" s="1"/>
  <c r="AF11" i="4" s="1"/>
  <c r="N11" i="4"/>
  <c r="Q11" i="4" s="1"/>
  <c r="Y11" i="4"/>
  <c r="S11" i="4"/>
  <c r="AS179" i="5"/>
  <c r="AE178" i="5"/>
  <c r="AO178" i="5"/>
  <c r="AC124" i="4"/>
  <c r="AE124" i="4" s="1"/>
  <c r="AF124" i="4" s="1"/>
  <c r="Y124" i="4"/>
  <c r="S124" i="4"/>
  <c r="N124" i="4"/>
  <c r="Q124" i="4" s="1"/>
  <c r="AC106" i="4"/>
  <c r="AE106" i="4" s="1"/>
  <c r="AF106" i="4" s="1"/>
  <c r="S106" i="4"/>
  <c r="Y106" i="4"/>
  <c r="N106" i="4"/>
  <c r="Q106" i="4" s="1"/>
  <c r="T103" i="4"/>
  <c r="W103" i="4"/>
  <c r="N63" i="4"/>
  <c r="Q63" i="4" s="1"/>
  <c r="AC63" i="4"/>
  <c r="AE63" i="4" s="1"/>
  <c r="AF63" i="4" s="1"/>
  <c r="S63" i="4"/>
  <c r="Y63" i="4"/>
  <c r="AC105" i="4"/>
  <c r="AE105" i="4" s="1"/>
  <c r="AF105" i="4" s="1"/>
  <c r="Y105" i="4"/>
  <c r="S105" i="4"/>
  <c r="N105" i="4"/>
  <c r="Q105" i="4" s="1"/>
  <c r="T93" i="4"/>
  <c r="W93" i="4"/>
  <c r="W138" i="4"/>
  <c r="T138" i="4"/>
  <c r="S27" i="4"/>
  <c r="Y27" i="4"/>
  <c r="AC27" i="4"/>
  <c r="AE27" i="4" s="1"/>
  <c r="AF27" i="4" s="1"/>
  <c r="N27" i="4"/>
  <c r="Q27" i="4" s="1"/>
  <c r="AP178" i="5"/>
  <c r="N149" i="4"/>
  <c r="Q149" i="4" s="1"/>
  <c r="S149" i="4"/>
  <c r="Y149" i="4"/>
  <c r="AC149" i="4"/>
  <c r="AE149" i="4" s="1"/>
  <c r="AF149" i="4" s="1"/>
  <c r="S132" i="4"/>
  <c r="N132" i="4"/>
  <c r="Q132" i="4" s="1"/>
  <c r="Y132" i="4"/>
  <c r="AC132" i="4"/>
  <c r="AE132" i="4" s="1"/>
  <c r="AF132" i="4" s="1"/>
  <c r="AC118" i="4"/>
  <c r="AE118" i="4" s="1"/>
  <c r="AF118" i="4" s="1"/>
  <c r="Y118" i="4"/>
  <c r="S118" i="4"/>
  <c r="N118" i="4"/>
  <c r="Q118" i="4" s="1"/>
  <c r="AC16" i="4"/>
  <c r="AE16" i="4" s="1"/>
  <c r="AF16" i="4" s="1"/>
  <c r="N16" i="4"/>
  <c r="Q16" i="4" s="1"/>
  <c r="S16" i="4"/>
  <c r="Y16" i="4"/>
  <c r="AC52" i="4"/>
  <c r="AE52" i="4" s="1"/>
  <c r="AF52" i="4" s="1"/>
  <c r="Y52" i="4"/>
  <c r="S52" i="4"/>
  <c r="N52" i="4"/>
  <c r="Q52" i="4" s="1"/>
  <c r="AJ178" i="5"/>
  <c r="AC169" i="4"/>
  <c r="AE169" i="4" s="1"/>
  <c r="AF169" i="4" s="1"/>
  <c r="N169" i="4"/>
  <c r="Q169" i="4" s="1"/>
  <c r="Y169" i="4"/>
  <c r="S169" i="4"/>
  <c r="S112" i="4"/>
  <c r="Y112" i="4"/>
  <c r="N112" i="4"/>
  <c r="Q112" i="4" s="1"/>
  <c r="AC112" i="4"/>
  <c r="AE112" i="4" s="1"/>
  <c r="AF112" i="4" s="1"/>
  <c r="Y113" i="4"/>
  <c r="S113" i="4"/>
  <c r="AC113" i="4"/>
  <c r="AE113" i="4" s="1"/>
  <c r="AF113" i="4" s="1"/>
  <c r="N113" i="4"/>
  <c r="Q113" i="4" s="1"/>
  <c r="AC47" i="4"/>
  <c r="AE47" i="4" s="1"/>
  <c r="AF47" i="4" s="1"/>
  <c r="N47" i="4"/>
  <c r="Q47" i="4" s="1"/>
  <c r="Y47" i="4"/>
  <c r="S47" i="4"/>
  <c r="Y26" i="4"/>
  <c r="AC26" i="4"/>
  <c r="AE26" i="4" s="1"/>
  <c r="AF26" i="4" s="1"/>
  <c r="S26" i="4"/>
  <c r="N26" i="4"/>
  <c r="Q26" i="4" s="1"/>
  <c r="T165" i="4"/>
  <c r="W165" i="4"/>
  <c r="Z38" i="4"/>
  <c r="AA38" i="4"/>
  <c r="AC10" i="4"/>
  <c r="AE10" i="4" s="1"/>
  <c r="AF10" i="4" s="1"/>
  <c r="S10" i="4"/>
  <c r="Y10" i="4"/>
  <c r="N10" i="4"/>
  <c r="Q10" i="4" s="1"/>
  <c r="AC92" i="4"/>
  <c r="AE92" i="4" s="1"/>
  <c r="AF92" i="4" s="1"/>
  <c r="N92" i="4"/>
  <c r="Q92" i="4" s="1"/>
  <c r="S92" i="4"/>
  <c r="Y92" i="4"/>
  <c r="AC156" i="4"/>
  <c r="AE156" i="4" s="1"/>
  <c r="AF156" i="4" s="1"/>
  <c r="Y156" i="4"/>
  <c r="S156" i="4"/>
  <c r="N156" i="4"/>
  <c r="Q156" i="4" s="1"/>
  <c r="AC55" i="4"/>
  <c r="AE55" i="4" s="1"/>
  <c r="AF55" i="4" s="1"/>
  <c r="Y55" i="4"/>
  <c r="S55" i="4"/>
  <c r="N55" i="4"/>
  <c r="Q55" i="4" s="1"/>
  <c r="AC80" i="4"/>
  <c r="AE80" i="4" s="1"/>
  <c r="AF80" i="4" s="1"/>
  <c r="N80" i="4"/>
  <c r="Q80" i="4" s="1"/>
  <c r="Y80" i="4"/>
  <c r="S80" i="4"/>
  <c r="N73" i="4"/>
  <c r="Q73" i="4" s="1"/>
  <c r="S73" i="4"/>
  <c r="Y73" i="4"/>
  <c r="AC73" i="4"/>
  <c r="AE73" i="4" s="1"/>
  <c r="AF73" i="4" s="1"/>
  <c r="AC21" i="4"/>
  <c r="AE21" i="4" s="1"/>
  <c r="AF21" i="4" s="1"/>
  <c r="Y21" i="4"/>
  <c r="S21" i="4"/>
  <c r="N21" i="4"/>
  <c r="Q21" i="4" s="1"/>
  <c r="AC157" i="4"/>
  <c r="AE157" i="4" s="1"/>
  <c r="AF157" i="4" s="1"/>
  <c r="N157" i="4"/>
  <c r="Q157" i="4" s="1"/>
  <c r="S157" i="4"/>
  <c r="Y157" i="4"/>
  <c r="S81" i="4"/>
  <c r="N81" i="4"/>
  <c r="Q81" i="4" s="1"/>
  <c r="Y81" i="4"/>
  <c r="AC81" i="4"/>
  <c r="AE81" i="4" s="1"/>
  <c r="AF81" i="4" s="1"/>
  <c r="Y143" i="4"/>
  <c r="AC143" i="4"/>
  <c r="AE143" i="4" s="1"/>
  <c r="AF143" i="4" s="1"/>
  <c r="S143" i="4"/>
  <c r="N143" i="4"/>
  <c r="Q143" i="4" s="1"/>
  <c r="S99" i="4"/>
  <c r="AC99" i="4"/>
  <c r="AE99" i="4" s="1"/>
  <c r="AF99" i="4" s="1"/>
  <c r="N99" i="4"/>
  <c r="Q99" i="4" s="1"/>
  <c r="Y99" i="4"/>
  <c r="AC50" i="4"/>
  <c r="AE50" i="4" s="1"/>
  <c r="AF50" i="4" s="1"/>
  <c r="Y50" i="4"/>
  <c r="N50" i="4"/>
  <c r="Q50" i="4" s="1"/>
  <c r="S50" i="4"/>
  <c r="AQ178" i="5"/>
  <c r="AC100" i="4"/>
  <c r="AE100" i="4" s="1"/>
  <c r="AF100" i="4" s="1"/>
  <c r="S100" i="4"/>
  <c r="Y100" i="4"/>
  <c r="N100" i="4"/>
  <c r="Q100" i="4" s="1"/>
  <c r="Y160" i="4"/>
  <c r="AC160" i="4"/>
  <c r="AE160" i="4" s="1"/>
  <c r="AF160" i="4" s="1"/>
  <c r="N160" i="4"/>
  <c r="Q160" i="4" s="1"/>
  <c r="S160" i="4"/>
  <c r="AC122" i="4"/>
  <c r="AE122" i="4" s="1"/>
  <c r="AF122" i="4" s="1"/>
  <c r="Y122" i="4"/>
  <c r="S122" i="4"/>
  <c r="N122" i="4"/>
  <c r="Q122" i="4" s="1"/>
  <c r="AC31" i="4"/>
  <c r="AE31" i="4" s="1"/>
  <c r="AF31" i="4" s="1"/>
  <c r="N31" i="4"/>
  <c r="Q31" i="4" s="1"/>
  <c r="Y31" i="4"/>
  <c r="S31" i="4"/>
  <c r="AC69" i="4"/>
  <c r="AE69" i="4" s="1"/>
  <c r="AF69" i="4" s="1"/>
  <c r="S69" i="4"/>
  <c r="N69" i="4"/>
  <c r="Q69" i="4" s="1"/>
  <c r="Y69" i="4"/>
  <c r="AC25" i="4"/>
  <c r="AE25" i="4" s="1"/>
  <c r="AF25" i="4" s="1"/>
  <c r="Y25" i="4"/>
  <c r="N25" i="4"/>
  <c r="Q25" i="4" s="1"/>
  <c r="S25" i="4"/>
  <c r="Z120" i="4"/>
  <c r="AA120" i="4"/>
  <c r="W39" i="4"/>
  <c r="T39" i="4"/>
  <c r="AC48" i="4"/>
  <c r="AE48" i="4" s="1"/>
  <c r="AF48" i="4" s="1"/>
  <c r="S48" i="4"/>
  <c r="N48" i="4"/>
  <c r="Q48" i="4" s="1"/>
  <c r="Y48" i="4"/>
  <c r="AC128" i="4"/>
  <c r="AE128" i="4" s="1"/>
  <c r="AF128" i="4" s="1"/>
  <c r="Y128" i="4"/>
  <c r="S128" i="4"/>
  <c r="N128" i="4"/>
  <c r="Q128" i="4" s="1"/>
  <c r="AC129" i="4"/>
  <c r="AE129" i="4" s="1"/>
  <c r="AF129" i="4" s="1"/>
  <c r="Y129" i="4"/>
  <c r="N129" i="4"/>
  <c r="Q129" i="4" s="1"/>
  <c r="S129" i="4"/>
  <c r="Y83" i="4"/>
  <c r="N83" i="4"/>
  <c r="Q83" i="4" s="1"/>
  <c r="S83" i="4"/>
  <c r="AC83" i="4"/>
  <c r="AE83" i="4" s="1"/>
  <c r="AF83" i="4" s="1"/>
  <c r="Y34" i="4"/>
  <c r="AC34" i="4"/>
  <c r="AE34" i="4" s="1"/>
  <c r="AF34" i="4" s="1"/>
  <c r="N34" i="4"/>
  <c r="Q34" i="4" s="1"/>
  <c r="S34" i="4"/>
  <c r="AC137" i="4"/>
  <c r="AE137" i="4" s="1"/>
  <c r="AF137" i="4" s="1"/>
  <c r="S137" i="4"/>
  <c r="Y137" i="4"/>
  <c r="N137" i="4"/>
  <c r="Q137" i="4" s="1"/>
  <c r="AC72" i="4"/>
  <c r="AE72" i="4" s="1"/>
  <c r="AF72" i="4" s="1"/>
  <c r="N72" i="4"/>
  <c r="Q72" i="4" s="1"/>
  <c r="S72" i="4"/>
  <c r="Y72" i="4"/>
  <c r="AC154" i="4"/>
  <c r="AE154" i="4" s="1"/>
  <c r="AF154" i="4" s="1"/>
  <c r="S154" i="4"/>
  <c r="Y154" i="4"/>
  <c r="N154" i="4"/>
  <c r="Q154" i="4" s="1"/>
  <c r="AC139" i="4"/>
  <c r="AE139" i="4" s="1"/>
  <c r="AF139" i="4" s="1"/>
  <c r="N139" i="4"/>
  <c r="Q139" i="4" s="1"/>
  <c r="Y139" i="4"/>
  <c r="S139" i="4"/>
  <c r="AC111" i="4"/>
  <c r="AE111" i="4" s="1"/>
  <c r="AF111" i="4" s="1"/>
  <c r="N111" i="4"/>
  <c r="Q111" i="4" s="1"/>
  <c r="S111" i="4"/>
  <c r="Y111" i="4"/>
  <c r="AA9" i="4"/>
  <c r="Z9" i="4"/>
  <c r="AC134" i="4"/>
  <c r="AE134" i="4" s="1"/>
  <c r="AF134" i="4" s="1"/>
  <c r="S134" i="4"/>
  <c r="N134" i="4"/>
  <c r="Q134" i="4" s="1"/>
  <c r="Y134" i="4"/>
  <c r="AC152" i="4"/>
  <c r="AE152" i="4" s="1"/>
  <c r="AF152" i="4" s="1"/>
  <c r="S152" i="4"/>
  <c r="N152" i="4"/>
  <c r="Q152" i="4" s="1"/>
  <c r="Y152" i="4"/>
  <c r="S114" i="4"/>
  <c r="AC114" i="4"/>
  <c r="AE114" i="4" s="1"/>
  <c r="AF114" i="4" s="1"/>
  <c r="N114" i="4"/>
  <c r="Q114" i="4" s="1"/>
  <c r="Y114" i="4"/>
  <c r="N24" i="4"/>
  <c r="Q24" i="4" s="1"/>
  <c r="Y24" i="4"/>
  <c r="S24" i="4"/>
  <c r="AC24" i="4"/>
  <c r="AE24" i="4" s="1"/>
  <c r="AF24" i="4" s="1"/>
  <c r="AC61" i="4"/>
  <c r="AE61" i="4" s="1"/>
  <c r="AF61" i="4" s="1"/>
  <c r="Y61" i="4"/>
  <c r="N61" i="4"/>
  <c r="Q61" i="4" s="1"/>
  <c r="S61" i="4"/>
  <c r="AC17" i="4"/>
  <c r="AE17" i="4" s="1"/>
  <c r="AF17" i="4" s="1"/>
  <c r="N17" i="4"/>
  <c r="Q17" i="4" s="1"/>
  <c r="Y17" i="4"/>
  <c r="S17" i="4"/>
  <c r="AC53" i="4"/>
  <c r="AE53" i="4" s="1"/>
  <c r="AF53" i="4" s="1"/>
  <c r="Y53" i="4"/>
  <c r="N53" i="4"/>
  <c r="Q53" i="4" s="1"/>
  <c r="S53" i="4"/>
  <c r="N163" i="4"/>
  <c r="Q163" i="4" s="1"/>
  <c r="AC163" i="4"/>
  <c r="AE163" i="4" s="1"/>
  <c r="AF163" i="4" s="1"/>
  <c r="Y163" i="4"/>
  <c r="S163" i="4"/>
  <c r="AC51" i="4"/>
  <c r="AE51" i="4" s="1"/>
  <c r="AF51" i="4" s="1"/>
  <c r="N51" i="4"/>
  <c r="Q51" i="4" s="1"/>
  <c r="S51" i="4"/>
  <c r="Y51" i="4"/>
  <c r="AC22" i="4"/>
  <c r="AE22" i="4" s="1"/>
  <c r="AF22" i="4" s="1"/>
  <c r="Y22" i="4"/>
  <c r="S22" i="4"/>
  <c r="N22" i="4"/>
  <c r="Q22" i="4" s="1"/>
  <c r="Y161" i="4"/>
  <c r="S161" i="4"/>
  <c r="AC161" i="4"/>
  <c r="AE161" i="4" s="1"/>
  <c r="AF161" i="4" s="1"/>
  <c r="N161" i="4"/>
  <c r="Q161" i="4" s="1"/>
  <c r="AC116" i="4"/>
  <c r="AE116" i="4" s="1"/>
  <c r="AF116" i="4" s="1"/>
  <c r="S116" i="4"/>
  <c r="Y116" i="4"/>
  <c r="N116" i="4"/>
  <c r="Q116" i="4" s="1"/>
  <c r="AC140" i="4"/>
  <c r="AE140" i="4" s="1"/>
  <c r="AF140" i="4" s="1"/>
  <c r="N140" i="4"/>
  <c r="Q140" i="4" s="1"/>
  <c r="S140" i="4"/>
  <c r="Y140" i="4"/>
  <c r="AC126" i="4"/>
  <c r="AE126" i="4" s="1"/>
  <c r="AF126" i="4" s="1"/>
  <c r="Y126" i="4"/>
  <c r="S126" i="4"/>
  <c r="N126" i="4"/>
  <c r="Q126" i="4" s="1"/>
  <c r="N32" i="4"/>
  <c r="Q32" i="4" s="1"/>
  <c r="AC32" i="4"/>
  <c r="AE32" i="4" s="1"/>
  <c r="AF32" i="4" s="1"/>
  <c r="Y32" i="4"/>
  <c r="S32" i="4"/>
  <c r="N57" i="4"/>
  <c r="Q57" i="4" s="1"/>
  <c r="AC57" i="4"/>
  <c r="AE57" i="4" s="1"/>
  <c r="AF57" i="4" s="1"/>
  <c r="S57" i="4"/>
  <c r="Y57" i="4"/>
  <c r="AK178" i="5"/>
  <c r="AT177" i="5"/>
  <c r="AC104" i="4"/>
  <c r="AE104" i="4" s="1"/>
  <c r="AF104" i="4" s="1"/>
  <c r="Y104" i="4"/>
  <c r="N104" i="4"/>
  <c r="Q104" i="4" s="1"/>
  <c r="S104" i="4"/>
  <c r="Z103" i="4"/>
  <c r="AA103" i="4"/>
  <c r="AC142" i="4"/>
  <c r="AE142" i="4" s="1"/>
  <c r="AF142" i="4" s="1"/>
  <c r="Y142" i="4"/>
  <c r="N142" i="4"/>
  <c r="Q142" i="4" s="1"/>
  <c r="S142" i="4"/>
  <c r="AC56" i="4"/>
  <c r="AE56" i="4" s="1"/>
  <c r="AF56" i="4" s="1"/>
  <c r="N56" i="4"/>
  <c r="Q56" i="4" s="1"/>
  <c r="Y56" i="4"/>
  <c r="S56" i="4"/>
  <c r="AC41" i="4"/>
  <c r="AE41" i="4" s="1"/>
  <c r="AF41" i="4" s="1"/>
  <c r="S41" i="4"/>
  <c r="N41" i="4"/>
  <c r="Q41" i="4" s="1"/>
  <c r="Y41" i="4"/>
  <c r="AC95" i="4"/>
  <c r="AE95" i="4" s="1"/>
  <c r="AF95" i="4" s="1"/>
  <c r="Y95" i="4"/>
  <c r="N95" i="4"/>
  <c r="Q95" i="4" s="1"/>
  <c r="S95" i="4"/>
  <c r="Z162" i="4"/>
  <c r="AA162" i="4"/>
  <c r="AC45" i="4"/>
  <c r="AE45" i="4" s="1"/>
  <c r="AF45" i="4" s="1"/>
  <c r="S45" i="4"/>
  <c r="Y45" i="4"/>
  <c r="N45" i="4"/>
  <c r="Q45" i="4" s="1"/>
  <c r="Y133" i="4"/>
  <c r="N133" i="4"/>
  <c r="Q133" i="4" s="1"/>
  <c r="AC133" i="4"/>
  <c r="AE133" i="4" s="1"/>
  <c r="AF133" i="4" s="1"/>
  <c r="S133" i="4"/>
  <c r="AC102" i="4"/>
  <c r="AE102" i="4" s="1"/>
  <c r="AF102" i="4" s="1"/>
  <c r="N102" i="4"/>
  <c r="Q102" i="4" s="1"/>
  <c r="Y102" i="4"/>
  <c r="S102" i="4"/>
  <c r="AC20" i="4"/>
  <c r="AE20" i="4" s="1"/>
  <c r="AF20" i="4" s="1"/>
  <c r="N20" i="4"/>
  <c r="Q20" i="4" s="1"/>
  <c r="S20" i="4"/>
  <c r="Y20" i="4"/>
  <c r="AC67" i="4"/>
  <c r="AE67" i="4" s="1"/>
  <c r="AF67" i="4" s="1"/>
  <c r="N67" i="4"/>
  <c r="Q67" i="4" s="1"/>
  <c r="S67" i="4"/>
  <c r="Y67" i="4"/>
  <c r="AC91" i="4"/>
  <c r="AE91" i="4" s="1"/>
  <c r="AF91" i="4" s="1"/>
  <c r="N91" i="4"/>
  <c r="Q91" i="4" s="1"/>
  <c r="S91" i="4"/>
  <c r="Y91" i="4"/>
  <c r="AC42" i="4"/>
  <c r="AE42" i="4" s="1"/>
  <c r="AF42" i="4" s="1"/>
  <c r="Y42" i="4"/>
  <c r="S42" i="4"/>
  <c r="N42" i="4"/>
  <c r="Q42" i="4" s="1"/>
  <c r="T125" i="4"/>
  <c r="W125" i="4"/>
  <c r="AA138" i="4"/>
  <c r="Z138" i="4"/>
  <c r="AC155" i="4"/>
  <c r="AE155" i="4" s="1"/>
  <c r="AF155" i="4" s="1"/>
  <c r="Y155" i="4"/>
  <c r="N155" i="4"/>
  <c r="Q155" i="4" s="1"/>
  <c r="S155" i="4"/>
  <c r="AC127" i="4"/>
  <c r="AE127" i="4" s="1"/>
  <c r="AF127" i="4" s="1"/>
  <c r="Y127" i="4"/>
  <c r="N127" i="4"/>
  <c r="Q127" i="4" s="1"/>
  <c r="S127" i="4"/>
  <c r="AG178" i="5"/>
  <c r="Z165" i="4"/>
  <c r="S23" i="4"/>
  <c r="Y23" i="4"/>
  <c r="AC23" i="4"/>
  <c r="AE23" i="4" s="1"/>
  <c r="AF23" i="4" s="1"/>
  <c r="N23" i="4"/>
  <c r="Q23" i="4" s="1"/>
  <c r="AC136" i="4"/>
  <c r="AE136" i="4" s="1"/>
  <c r="AF136" i="4" s="1"/>
  <c r="S136" i="4"/>
  <c r="Y136" i="4"/>
  <c r="N136" i="4"/>
  <c r="Q136" i="4" s="1"/>
  <c r="AC98" i="4"/>
  <c r="AE98" i="4" s="1"/>
  <c r="AF98" i="4" s="1"/>
  <c r="S98" i="4"/>
  <c r="N98" i="4"/>
  <c r="Q98" i="4" s="1"/>
  <c r="Y98" i="4"/>
  <c r="AC74" i="4"/>
  <c r="AE74" i="4" s="1"/>
  <c r="AF74" i="4" s="1"/>
  <c r="N74" i="4"/>
  <c r="Q74" i="4" s="1"/>
  <c r="Y74" i="4"/>
  <c r="S74" i="4"/>
  <c r="AC44" i="4"/>
  <c r="AE44" i="4" s="1"/>
  <c r="AF44" i="4" s="1"/>
  <c r="Y44" i="4"/>
  <c r="S44" i="4"/>
  <c r="N44" i="4"/>
  <c r="Q44" i="4" s="1"/>
  <c r="AC175" i="4"/>
  <c r="AE175" i="4" s="1"/>
  <c r="AF175" i="4" s="1"/>
  <c r="N175" i="4"/>
  <c r="Q175" i="4" s="1"/>
  <c r="Y175" i="4"/>
  <c r="S175" i="4"/>
  <c r="AC109" i="4"/>
  <c r="AE109" i="4" s="1"/>
  <c r="AF109" i="4" s="1"/>
  <c r="Y109" i="4"/>
  <c r="N109" i="4"/>
  <c r="Q109" i="4" s="1"/>
  <c r="S109" i="4"/>
  <c r="AC147" i="4"/>
  <c r="AE147" i="4" s="1"/>
  <c r="AF147" i="4" s="1"/>
  <c r="N147" i="4"/>
  <c r="Q147" i="4" s="1"/>
  <c r="Y147" i="4"/>
  <c r="S147" i="4"/>
  <c r="AC119" i="4"/>
  <c r="AE119" i="4" s="1"/>
  <c r="AF119" i="4" s="1"/>
  <c r="N119" i="4"/>
  <c r="Q119" i="4" s="1"/>
  <c r="Y119" i="4"/>
  <c r="S119" i="4"/>
  <c r="W38" i="4"/>
  <c r="T38" i="4"/>
  <c r="AA93" i="4"/>
  <c r="Z93" i="4"/>
  <c r="V120" i="4"/>
  <c r="AD120" i="4"/>
  <c r="AG120" i="4" s="1"/>
  <c r="AH120" i="4" s="1"/>
  <c r="U120" i="4"/>
  <c r="AD39" i="4"/>
  <c r="AG39" i="4" s="1"/>
  <c r="AH39" i="4" s="1"/>
  <c r="U39" i="4"/>
  <c r="V39" i="4"/>
  <c r="AD9" i="4"/>
  <c r="AG9" i="4" s="1"/>
  <c r="AH9" i="4" s="1"/>
  <c r="V9" i="4"/>
  <c r="U9" i="4"/>
  <c r="N30" i="4"/>
  <c r="Q30" i="4" s="1"/>
  <c r="AC30" i="4"/>
  <c r="AE30" i="4" s="1"/>
  <c r="AF30" i="4" s="1"/>
  <c r="S30" i="4"/>
  <c r="Y30" i="4"/>
  <c r="AC174" i="4"/>
  <c r="AE174" i="4" s="1"/>
  <c r="AF174" i="4" s="1"/>
  <c r="S174" i="4"/>
  <c r="N174" i="4"/>
  <c r="Q174" i="4" s="1"/>
  <c r="Y174" i="4"/>
  <c r="AC130" i="4"/>
  <c r="AE130" i="4" s="1"/>
  <c r="AF130" i="4" s="1"/>
  <c r="N130" i="4"/>
  <c r="Q130" i="4" s="1"/>
  <c r="S130" i="4"/>
  <c r="Y130" i="4"/>
  <c r="AC148" i="4"/>
  <c r="AE148" i="4" s="1"/>
  <c r="AF148" i="4" s="1"/>
  <c r="Y148" i="4"/>
  <c r="S148" i="4"/>
  <c r="N148" i="4"/>
  <c r="Q148" i="4" s="1"/>
  <c r="AC40" i="4"/>
  <c r="AE40" i="4" s="1"/>
  <c r="AF40" i="4" s="1"/>
  <c r="S40" i="4"/>
  <c r="Y40" i="4"/>
  <c r="N40" i="4"/>
  <c r="Q40" i="4" s="1"/>
  <c r="AC64" i="4"/>
  <c r="AE64" i="4" s="1"/>
  <c r="AF64" i="4" s="1"/>
  <c r="N64" i="4"/>
  <c r="Q64" i="4" s="1"/>
  <c r="S64" i="4"/>
  <c r="Y64" i="4"/>
  <c r="AC65" i="4"/>
  <c r="AE65" i="4" s="1"/>
  <c r="AF65" i="4" s="1"/>
  <c r="N65" i="4"/>
  <c r="Q65" i="4" s="1"/>
  <c r="S65" i="4"/>
  <c r="Y65" i="4"/>
  <c r="AC8" i="4"/>
  <c r="AE8" i="4" s="1"/>
  <c r="AF8" i="4" s="1"/>
  <c r="N8" i="4"/>
  <c r="Q8" i="4" s="1"/>
  <c r="Y8" i="4"/>
  <c r="S8" i="4"/>
  <c r="AC117" i="4"/>
  <c r="AE117" i="4" s="1"/>
  <c r="AF117" i="4" s="1"/>
  <c r="Y117" i="4"/>
  <c r="N117" i="4"/>
  <c r="Q117" i="4" s="1"/>
  <c r="S117" i="4"/>
  <c r="AC167" i="4"/>
  <c r="AE167" i="4" s="1"/>
  <c r="AF167" i="4" s="1"/>
  <c r="S167" i="4"/>
  <c r="Y167" i="4"/>
  <c r="N167" i="4"/>
  <c r="Q167" i="4" s="1"/>
  <c r="S123" i="4"/>
  <c r="AC123" i="4"/>
  <c r="AE123" i="4" s="1"/>
  <c r="AF123" i="4" s="1"/>
  <c r="N123" i="4"/>
  <c r="Q123" i="4" s="1"/>
  <c r="Y123" i="4"/>
  <c r="Y35" i="4"/>
  <c r="S35" i="4"/>
  <c r="AC35" i="4"/>
  <c r="AE35" i="4" s="1"/>
  <c r="AF35" i="4" s="1"/>
  <c r="N35" i="4"/>
  <c r="Q35" i="4" s="1"/>
  <c r="AC13" i="4"/>
  <c r="AE13" i="4" s="1"/>
  <c r="AF13" i="4" s="1"/>
  <c r="N13" i="4"/>
  <c r="Q13" i="4" s="1"/>
  <c r="S13" i="4"/>
  <c r="Y13" i="4"/>
  <c r="AC43" i="4"/>
  <c r="AE43" i="4" s="1"/>
  <c r="AF43" i="4" s="1"/>
  <c r="Y43" i="4"/>
  <c r="S43" i="4"/>
  <c r="N43" i="4"/>
  <c r="Q43" i="4" s="1"/>
  <c r="U125" i="4"/>
  <c r="AD125" i="4"/>
  <c r="AG125" i="4" s="1"/>
  <c r="AH125" i="4" s="1"/>
  <c r="V125" i="4"/>
  <c r="AC75" i="4"/>
  <c r="AE75" i="4" s="1"/>
  <c r="AF75" i="4" s="1"/>
  <c r="N75" i="4"/>
  <c r="Q75" i="4" s="1"/>
  <c r="S75" i="4"/>
  <c r="Y75" i="4"/>
  <c r="AC144" i="4"/>
  <c r="AE144" i="4" s="1"/>
  <c r="AF144" i="4" s="1"/>
  <c r="S144" i="4"/>
  <c r="N144" i="4"/>
  <c r="Q144" i="4" s="1"/>
  <c r="Y144" i="4"/>
  <c r="Y121" i="4"/>
  <c r="AC121" i="4"/>
  <c r="AE121" i="4" s="1"/>
  <c r="AF121" i="4" s="1"/>
  <c r="N121" i="4"/>
  <c r="Q121" i="4" s="1"/>
  <c r="S121" i="4"/>
  <c r="N33" i="4"/>
  <c r="Q33" i="4" s="1"/>
  <c r="AC33" i="4"/>
  <c r="AE33" i="4" s="1"/>
  <c r="AF33" i="4" s="1"/>
  <c r="Y33" i="4"/>
  <c r="S33" i="4"/>
  <c r="U138" i="4"/>
  <c r="AD138" i="4"/>
  <c r="AG138" i="4" s="1"/>
  <c r="AH138" i="4" s="1"/>
  <c r="V103" i="4"/>
  <c r="AD103" i="4"/>
  <c r="AG103" i="4" s="1"/>
  <c r="AH103" i="4" s="1"/>
  <c r="U103" i="4"/>
  <c r="AC14" i="4"/>
  <c r="AE14" i="4" s="1"/>
  <c r="AF14" i="4" s="1"/>
  <c r="Y14" i="4"/>
  <c r="N14" i="4"/>
  <c r="Q14" i="4" s="1"/>
  <c r="S14" i="4"/>
  <c r="AC150" i="4"/>
  <c r="AE150" i="4" s="1"/>
  <c r="AF150" i="4" s="1"/>
  <c r="S150" i="4"/>
  <c r="Y150" i="4"/>
  <c r="N150" i="4"/>
  <c r="Q150" i="4" s="1"/>
  <c r="S164" i="4"/>
  <c r="N164" i="4"/>
  <c r="Q164" i="4" s="1"/>
  <c r="AC164" i="4"/>
  <c r="AE164" i="4" s="1"/>
  <c r="AF164" i="4" s="1"/>
  <c r="Y164" i="4"/>
  <c r="AC71" i="4"/>
  <c r="AE71" i="4" s="1"/>
  <c r="AF71" i="4" s="1"/>
  <c r="N71" i="4"/>
  <c r="Q71" i="4" s="1"/>
  <c r="S71" i="4"/>
  <c r="Y71" i="4"/>
  <c r="AC86" i="4"/>
  <c r="AE86" i="4" s="1"/>
  <c r="AF86" i="4" s="1"/>
  <c r="Y86" i="4"/>
  <c r="N86" i="4"/>
  <c r="Q86" i="4" s="1"/>
  <c r="S86" i="4"/>
  <c r="AC54" i="4"/>
  <c r="AE54" i="4" s="1"/>
  <c r="AF54" i="4" s="1"/>
  <c r="S54" i="4"/>
  <c r="Y54" i="4"/>
  <c r="N54" i="4"/>
  <c r="Q54" i="4" s="1"/>
  <c r="AC29" i="4"/>
  <c r="AE29" i="4" s="1"/>
  <c r="AF29" i="4" s="1"/>
  <c r="Y29" i="4"/>
  <c r="N29" i="4"/>
  <c r="Q29" i="4" s="1"/>
  <c r="S29" i="4"/>
  <c r="AC173" i="4"/>
  <c r="AE173" i="4" s="1"/>
  <c r="AF173" i="4" s="1"/>
  <c r="N173" i="4"/>
  <c r="Q173" i="4" s="1"/>
  <c r="S173" i="4"/>
  <c r="Y173" i="4"/>
  <c r="AC85" i="4"/>
  <c r="AE85" i="4" s="1"/>
  <c r="AF85" i="4" s="1"/>
  <c r="N85" i="4"/>
  <c r="Q85" i="4" s="1"/>
  <c r="S85" i="4"/>
  <c r="Y85" i="4"/>
  <c r="AC151" i="4"/>
  <c r="AE151" i="4" s="1"/>
  <c r="AF151" i="4" s="1"/>
  <c r="S151" i="4"/>
  <c r="Y151" i="4"/>
  <c r="N151" i="4"/>
  <c r="Q151" i="4" s="1"/>
  <c r="AC107" i="4"/>
  <c r="AE107" i="4" s="1"/>
  <c r="AF107" i="4" s="1"/>
  <c r="N107" i="4"/>
  <c r="Q107" i="4" s="1"/>
  <c r="Y107" i="4"/>
  <c r="S107" i="4"/>
  <c r="AC12" i="4"/>
  <c r="AE12" i="4" s="1"/>
  <c r="AF12" i="4" s="1"/>
  <c r="S12" i="4"/>
  <c r="N12" i="4"/>
  <c r="Q12" i="4" s="1"/>
  <c r="Y12" i="4"/>
  <c r="AC49" i="4"/>
  <c r="AE49" i="4" s="1"/>
  <c r="AF49" i="4" s="1"/>
  <c r="Y49" i="4"/>
  <c r="N49" i="4"/>
  <c r="Q49" i="4" s="1"/>
  <c r="S49" i="4"/>
  <c r="AC5" i="4"/>
  <c r="AE5" i="4" s="1"/>
  <c r="AF5" i="4" s="1"/>
  <c r="N5" i="4"/>
  <c r="Q5" i="4" s="1"/>
  <c r="Y5" i="4"/>
  <c r="S5" i="4"/>
  <c r="W162" i="4"/>
  <c r="T162" i="4"/>
  <c r="U162" i="4"/>
  <c r="V162" i="4"/>
  <c r="AD162" i="4"/>
  <c r="AG162" i="4" s="1"/>
  <c r="AH162" i="4" s="1"/>
  <c r="U93" i="4"/>
  <c r="AD93" i="4"/>
  <c r="AG93" i="4" s="1"/>
  <c r="AH93" i="4" s="1"/>
  <c r="V93" i="4"/>
  <c r="N141" i="4"/>
  <c r="Q141" i="4" s="1"/>
  <c r="AC141" i="4"/>
  <c r="AE141" i="4" s="1"/>
  <c r="AF141" i="4" s="1"/>
  <c r="S141" i="4"/>
  <c r="Y141" i="4"/>
  <c r="Y59" i="4"/>
  <c r="S59" i="4"/>
  <c r="AC59" i="4"/>
  <c r="AE59" i="4" s="1"/>
  <c r="AF59" i="4" s="1"/>
  <c r="N59" i="4"/>
  <c r="Q59" i="4" s="1"/>
  <c r="AC110" i="4"/>
  <c r="AE110" i="4" s="1"/>
  <c r="AF110" i="4" s="1"/>
  <c r="N110" i="4"/>
  <c r="Q110" i="4" s="1"/>
  <c r="Y110" i="4"/>
  <c r="S110" i="4"/>
  <c r="AC78" i="4"/>
  <c r="AE78" i="4" s="1"/>
  <c r="AF78" i="4" s="1"/>
  <c r="S78" i="4"/>
  <c r="N78" i="4"/>
  <c r="Q78" i="4" s="1"/>
  <c r="Y78" i="4"/>
  <c r="S36" i="4"/>
  <c r="AC36" i="4"/>
  <c r="AE36" i="4" s="1"/>
  <c r="AF36" i="4" s="1"/>
  <c r="N36" i="4"/>
  <c r="Q36" i="4" s="1"/>
  <c r="Y36" i="4"/>
  <c r="Y158" i="4"/>
  <c r="AC158" i="4"/>
  <c r="AE158" i="4" s="1"/>
  <c r="AF158" i="4" s="1"/>
  <c r="N158" i="4"/>
  <c r="Q158" i="4" s="1"/>
  <c r="S158" i="4"/>
  <c r="AC153" i="4"/>
  <c r="AE153" i="4" s="1"/>
  <c r="AF153" i="4" s="1"/>
  <c r="S153" i="4"/>
  <c r="N153" i="4"/>
  <c r="Q153" i="4" s="1"/>
  <c r="Y153" i="4"/>
  <c r="AC96" i="4"/>
  <c r="AE96" i="4" s="1"/>
  <c r="AF96" i="4" s="1"/>
  <c r="Y96" i="4"/>
  <c r="S96" i="4"/>
  <c r="N96" i="4"/>
  <c r="Q96" i="4" s="1"/>
  <c r="AC97" i="4"/>
  <c r="AE97" i="4" s="1"/>
  <c r="AF97" i="4" s="1"/>
  <c r="N97" i="4"/>
  <c r="Q97" i="4" s="1"/>
  <c r="S97" i="4"/>
  <c r="Y97" i="4"/>
  <c r="AC4" i="4"/>
  <c r="AE4" i="4" s="1"/>
  <c r="AF4" i="4" s="1"/>
  <c r="N4" i="4"/>
  <c r="Q4" i="4" s="1"/>
  <c r="S4" i="4"/>
  <c r="Y4" i="4"/>
  <c r="AC18" i="4"/>
  <c r="AE18" i="4" s="1"/>
  <c r="AF18" i="4" s="1"/>
  <c r="N18" i="4"/>
  <c r="Q18" i="4" s="1"/>
  <c r="S18" i="4"/>
  <c r="Y18" i="4"/>
  <c r="AC6" i="4"/>
  <c r="AE6" i="4" s="1"/>
  <c r="AF6" i="4" s="1"/>
  <c r="N6" i="4"/>
  <c r="Q6" i="4" s="1"/>
  <c r="Y6" i="4"/>
  <c r="S6" i="4"/>
  <c r="AC146" i="4"/>
  <c r="AE146" i="4" s="1"/>
  <c r="AF146" i="4" s="1"/>
  <c r="Y146" i="4"/>
  <c r="S146" i="4"/>
  <c r="N146" i="4"/>
  <c r="Q146" i="4" s="1"/>
  <c r="AC76" i="4"/>
  <c r="AE76" i="4" s="1"/>
  <c r="AF76" i="4" s="1"/>
  <c r="Y76" i="4"/>
  <c r="N76" i="4"/>
  <c r="Q76" i="4" s="1"/>
  <c r="S76" i="4"/>
  <c r="AC90" i="4"/>
  <c r="AE90" i="4" s="1"/>
  <c r="AF90" i="4" s="1"/>
  <c r="S90" i="4"/>
  <c r="N90" i="4"/>
  <c r="Q90" i="4" s="1"/>
  <c r="Y90" i="4"/>
  <c r="AC66" i="4"/>
  <c r="AE66" i="4" s="1"/>
  <c r="AF66" i="4" s="1"/>
  <c r="Y66" i="4"/>
  <c r="N66" i="4"/>
  <c r="Q66" i="4" s="1"/>
  <c r="S66" i="4"/>
  <c r="AC28" i="4"/>
  <c r="AE28" i="4" s="1"/>
  <c r="AF28" i="4" s="1"/>
  <c r="S28" i="4"/>
  <c r="Y28" i="4"/>
  <c r="N28" i="4"/>
  <c r="Q28" i="4" s="1"/>
  <c r="T120" i="4"/>
  <c r="W120" i="4"/>
  <c r="AA39" i="4"/>
  <c r="Z39" i="4"/>
  <c r="S101" i="4"/>
  <c r="AC101" i="4"/>
  <c r="AE101" i="4" s="1"/>
  <c r="AF101" i="4" s="1"/>
  <c r="Y101" i="4"/>
  <c r="N101" i="4"/>
  <c r="Q101" i="4" s="1"/>
  <c r="AC159" i="4"/>
  <c r="AE159" i="4" s="1"/>
  <c r="AF159" i="4" s="1"/>
  <c r="Y159" i="4"/>
  <c r="N159" i="4"/>
  <c r="Q159" i="4" s="1"/>
  <c r="S159" i="4"/>
  <c r="AC115" i="4"/>
  <c r="AE115" i="4" s="1"/>
  <c r="AF115" i="4" s="1"/>
  <c r="Y115" i="4"/>
  <c r="S115" i="4"/>
  <c r="N115" i="4"/>
  <c r="Q115" i="4" s="1"/>
  <c r="AC19" i="4"/>
  <c r="AE19" i="4" s="1"/>
  <c r="AF19" i="4" s="1"/>
  <c r="S19" i="4"/>
  <c r="N19" i="4"/>
  <c r="Q19" i="4" s="1"/>
  <c r="Y19" i="4"/>
  <c r="AR178" i="5"/>
  <c r="AC79" i="4"/>
  <c r="AE79" i="4" s="1"/>
  <c r="AF79" i="4" s="1"/>
  <c r="Y79" i="4"/>
  <c r="N79" i="4"/>
  <c r="Q79" i="4" s="1"/>
  <c r="S79" i="4"/>
  <c r="AL178" i="5"/>
  <c r="Y171" i="4"/>
  <c r="N171" i="4"/>
  <c r="Q171" i="4" s="1"/>
  <c r="AC171" i="4"/>
  <c r="AE171" i="4" s="1"/>
  <c r="AF171" i="4" s="1"/>
  <c r="S171" i="4"/>
  <c r="Y89" i="4"/>
  <c r="S89" i="4"/>
  <c r="AC89" i="4"/>
  <c r="AE89" i="4" s="1"/>
  <c r="AF89" i="4" s="1"/>
  <c r="N89" i="4"/>
  <c r="Q89" i="4" s="1"/>
  <c r="AC87" i="4"/>
  <c r="AE87" i="4" s="1"/>
  <c r="AF87" i="4" s="1"/>
  <c r="Y87" i="4"/>
  <c r="N87" i="4"/>
  <c r="Q87" i="4" s="1"/>
  <c r="S87" i="4"/>
  <c r="W9" i="4"/>
  <c r="T9" i="4"/>
  <c r="AA125" i="4"/>
  <c r="Z125" i="4"/>
  <c r="N145" i="4"/>
  <c r="Q145" i="4" s="1"/>
  <c r="Y145" i="4"/>
  <c r="AC145" i="4"/>
  <c r="AE145" i="4" s="1"/>
  <c r="AF145" i="4" s="1"/>
  <c r="S145" i="4"/>
  <c r="Y60" i="4"/>
  <c r="S60" i="4"/>
  <c r="AC60" i="4"/>
  <c r="AE60" i="4" s="1"/>
  <c r="AF60" i="4" s="1"/>
  <c r="N60" i="4"/>
  <c r="Q60" i="4" s="1"/>
  <c r="AC82" i="4"/>
  <c r="AE82" i="4" s="1"/>
  <c r="AF82" i="4" s="1"/>
  <c r="N82" i="4"/>
  <c r="Q82" i="4" s="1"/>
  <c r="Y82" i="4"/>
  <c r="S82" i="4"/>
  <c r="AC58" i="4"/>
  <c r="AE58" i="4" s="1"/>
  <c r="AF58" i="4" s="1"/>
  <c r="S58" i="4"/>
  <c r="Y58" i="4"/>
  <c r="N58" i="4"/>
  <c r="Q58" i="4" s="1"/>
  <c r="AC84" i="4"/>
  <c r="AE84" i="4" s="1"/>
  <c r="AF84" i="4" s="1"/>
  <c r="S84" i="4"/>
  <c r="N84" i="4"/>
  <c r="Q84" i="4" s="1"/>
  <c r="Y84" i="4"/>
  <c r="AH178" i="5"/>
  <c r="S131" i="4"/>
  <c r="N131" i="4"/>
  <c r="Q131" i="4" s="1"/>
  <c r="Y131" i="4"/>
  <c r="AC131" i="4"/>
  <c r="AE131" i="4" s="1"/>
  <c r="AF131" i="4" s="1"/>
  <c r="N46" i="4"/>
  <c r="Q46" i="4" s="1"/>
  <c r="AC46" i="4"/>
  <c r="AE46" i="4" s="1"/>
  <c r="AF46" i="4" s="1"/>
  <c r="S46" i="4"/>
  <c r="Y46" i="4"/>
  <c r="AC7" i="4"/>
  <c r="AE7" i="4" s="1"/>
  <c r="AF7" i="4" s="1"/>
  <c r="S7" i="4"/>
  <c r="Y7" i="4"/>
  <c r="N7" i="4"/>
  <c r="Q7" i="4" s="1"/>
  <c r="AC108" i="4"/>
  <c r="AE108" i="4" s="1"/>
  <c r="AF108" i="4" s="1"/>
  <c r="Y108" i="4"/>
  <c r="S108" i="4"/>
  <c r="N108" i="4"/>
  <c r="Q108" i="4" s="1"/>
  <c r="Y172" i="4"/>
  <c r="N172" i="4"/>
  <c r="Q172" i="4" s="1"/>
  <c r="S172" i="4"/>
  <c r="AC172" i="4"/>
  <c r="AE172" i="4" s="1"/>
  <c r="AF172" i="4" s="1"/>
  <c r="AC15" i="4"/>
  <c r="AE15" i="4" s="1"/>
  <c r="AF15" i="4" s="1"/>
  <c r="Y15" i="4"/>
  <c r="S15" i="4"/>
  <c r="N15" i="4"/>
  <c r="Q15" i="4" s="1"/>
  <c r="N94" i="4"/>
  <c r="Q94" i="4" s="1"/>
  <c r="S94" i="4"/>
  <c r="Y94" i="4"/>
  <c r="AC94" i="4"/>
  <c r="AE94" i="4" s="1"/>
  <c r="AF94" i="4" s="1"/>
  <c r="S62" i="4"/>
  <c r="AC62" i="4"/>
  <c r="AE62" i="4" s="1"/>
  <c r="AF62" i="4" s="1"/>
  <c r="Y62" i="4"/>
  <c r="N62" i="4"/>
  <c r="Q62" i="4" s="1"/>
  <c r="AC37" i="4"/>
  <c r="AE37" i="4" s="1"/>
  <c r="AF37" i="4" s="1"/>
  <c r="N37" i="4"/>
  <c r="Q37" i="4" s="1"/>
  <c r="S37" i="4"/>
  <c r="Y37" i="4"/>
  <c r="L3" i="4"/>
  <c r="J177" i="4"/>
  <c r="V165" i="4" l="1"/>
  <c r="U165" i="4"/>
  <c r="T101" i="4"/>
  <c r="W101" i="4"/>
  <c r="T28" i="4"/>
  <c r="W28" i="4"/>
  <c r="U66" i="4"/>
  <c r="AD66" i="4"/>
  <c r="AG66" i="4" s="1"/>
  <c r="AH66" i="4" s="1"/>
  <c r="V66" i="4"/>
  <c r="Z90" i="4"/>
  <c r="AA90" i="4"/>
  <c r="AA146" i="4"/>
  <c r="Z146" i="4"/>
  <c r="Z4" i="4"/>
  <c r="AA4" i="4"/>
  <c r="V97" i="4"/>
  <c r="AD97" i="4"/>
  <c r="AG97" i="4" s="1"/>
  <c r="AH97" i="4" s="1"/>
  <c r="U97" i="4"/>
  <c r="T96" i="4"/>
  <c r="W96" i="4"/>
  <c r="U153" i="4"/>
  <c r="V153" i="4"/>
  <c r="AD153" i="4"/>
  <c r="AG153" i="4" s="1"/>
  <c r="AH153" i="4" s="1"/>
  <c r="W158" i="4"/>
  <c r="T158" i="4"/>
  <c r="Z158" i="4"/>
  <c r="AA158" i="4"/>
  <c r="U78" i="4"/>
  <c r="V78" i="4"/>
  <c r="AD78" i="4"/>
  <c r="AG78" i="4" s="1"/>
  <c r="AH78" i="4" s="1"/>
  <c r="T110" i="4"/>
  <c r="W110" i="4"/>
  <c r="AA59" i="4"/>
  <c r="Z59" i="4"/>
  <c r="AA12" i="4"/>
  <c r="Z12" i="4"/>
  <c r="V107" i="4"/>
  <c r="AD107" i="4"/>
  <c r="AG107" i="4" s="1"/>
  <c r="AH107" i="4" s="1"/>
  <c r="U107" i="4"/>
  <c r="AA151" i="4"/>
  <c r="Z151" i="4"/>
  <c r="Z85" i="4"/>
  <c r="AA85" i="4"/>
  <c r="Z173" i="4"/>
  <c r="AA173" i="4"/>
  <c r="AA29" i="4"/>
  <c r="Z29" i="4"/>
  <c r="Z54" i="4"/>
  <c r="AA54" i="4"/>
  <c r="U86" i="4"/>
  <c r="AD86" i="4"/>
  <c r="AG86" i="4" s="1"/>
  <c r="AH86" i="4" s="1"/>
  <c r="V86" i="4"/>
  <c r="AA71" i="4"/>
  <c r="Z71" i="4"/>
  <c r="U164" i="4"/>
  <c r="V164" i="4"/>
  <c r="AD164" i="4"/>
  <c r="AG164" i="4" s="1"/>
  <c r="AH164" i="4" s="1"/>
  <c r="AA150" i="4"/>
  <c r="Z150" i="4"/>
  <c r="V14" i="4"/>
  <c r="U14" i="4"/>
  <c r="AD14" i="4"/>
  <c r="AG14" i="4" s="1"/>
  <c r="AH14" i="4" s="1"/>
  <c r="AA33" i="4"/>
  <c r="Z33" i="4"/>
  <c r="AD121" i="4"/>
  <c r="AG121" i="4" s="1"/>
  <c r="AH121" i="4" s="1"/>
  <c r="V121" i="4"/>
  <c r="U121" i="4"/>
  <c r="AA144" i="4"/>
  <c r="Z144" i="4"/>
  <c r="AA75" i="4"/>
  <c r="Z75" i="4"/>
  <c r="V43" i="4"/>
  <c r="U43" i="4"/>
  <c r="AD43" i="4"/>
  <c r="AG43" i="4" s="1"/>
  <c r="AH43" i="4" s="1"/>
  <c r="U13" i="4"/>
  <c r="AD13" i="4"/>
  <c r="AG13" i="4" s="1"/>
  <c r="AH13" i="4" s="1"/>
  <c r="V13" i="4"/>
  <c r="AA123" i="4"/>
  <c r="Z123" i="4"/>
  <c r="Z117" i="4"/>
  <c r="AA117" i="4"/>
  <c r="Z8" i="4"/>
  <c r="AA8" i="4"/>
  <c r="Z64" i="4"/>
  <c r="AA64" i="4"/>
  <c r="W40" i="4"/>
  <c r="T40" i="4"/>
  <c r="T130" i="4"/>
  <c r="W130" i="4"/>
  <c r="Z119" i="4"/>
  <c r="AA119" i="4"/>
  <c r="T147" i="4"/>
  <c r="W147" i="4"/>
  <c r="Z109" i="4"/>
  <c r="AA109" i="4"/>
  <c r="AA175" i="4"/>
  <c r="Z175" i="4"/>
  <c r="T44" i="4"/>
  <c r="W44" i="4"/>
  <c r="T74" i="4"/>
  <c r="W74" i="4"/>
  <c r="W98" i="4"/>
  <c r="T98" i="4"/>
  <c r="Z136" i="4"/>
  <c r="AA136" i="4"/>
  <c r="U127" i="4"/>
  <c r="AD127" i="4"/>
  <c r="AG127" i="4" s="1"/>
  <c r="AH127" i="4" s="1"/>
  <c r="V127" i="4"/>
  <c r="Z42" i="4"/>
  <c r="AA42" i="4"/>
  <c r="U91" i="4"/>
  <c r="V91" i="4"/>
  <c r="AD91" i="4"/>
  <c r="AG91" i="4" s="1"/>
  <c r="AH91" i="4" s="1"/>
  <c r="T67" i="4"/>
  <c r="W67" i="4"/>
  <c r="AD102" i="4"/>
  <c r="AG102" i="4" s="1"/>
  <c r="AH102" i="4" s="1"/>
  <c r="V102" i="4"/>
  <c r="U102" i="4"/>
  <c r="U95" i="4"/>
  <c r="AD95" i="4"/>
  <c r="AG95" i="4" s="1"/>
  <c r="AH95" i="4" s="1"/>
  <c r="V95" i="4"/>
  <c r="AD41" i="4"/>
  <c r="AG41" i="4" s="1"/>
  <c r="AH41" i="4" s="1"/>
  <c r="V41" i="4"/>
  <c r="U41" i="4"/>
  <c r="AA142" i="4"/>
  <c r="Z142" i="4"/>
  <c r="W104" i="4"/>
  <c r="T104" i="4"/>
  <c r="AD32" i="4"/>
  <c r="AG32" i="4" s="1"/>
  <c r="AH32" i="4" s="1"/>
  <c r="V32" i="4"/>
  <c r="U32" i="4"/>
  <c r="Z126" i="4"/>
  <c r="AA126" i="4"/>
  <c r="W140" i="4"/>
  <c r="T140" i="4"/>
  <c r="AA116" i="4"/>
  <c r="Z116" i="4"/>
  <c r="U161" i="4"/>
  <c r="V161" i="4"/>
  <c r="AD161" i="4"/>
  <c r="AG161" i="4" s="1"/>
  <c r="AH161" i="4" s="1"/>
  <c r="AA22" i="4"/>
  <c r="Z22" i="4"/>
  <c r="W51" i="4"/>
  <c r="T51" i="4"/>
  <c r="AA163" i="4"/>
  <c r="Z163" i="4"/>
  <c r="V17" i="4"/>
  <c r="AD17" i="4"/>
  <c r="AG17" i="4" s="1"/>
  <c r="AH17" i="4" s="1"/>
  <c r="U17" i="4"/>
  <c r="V61" i="4"/>
  <c r="AD61" i="4"/>
  <c r="AG61" i="4" s="1"/>
  <c r="AH61" i="4" s="1"/>
  <c r="U61" i="4"/>
  <c r="AA114" i="4"/>
  <c r="Z114" i="4"/>
  <c r="T114" i="4"/>
  <c r="W114" i="4"/>
  <c r="T152" i="4"/>
  <c r="W152" i="4"/>
  <c r="U134" i="4"/>
  <c r="V134" i="4"/>
  <c r="AD134" i="4"/>
  <c r="AG134" i="4" s="1"/>
  <c r="AH134" i="4" s="1"/>
  <c r="AD111" i="4"/>
  <c r="AG111" i="4" s="1"/>
  <c r="AH111" i="4" s="1"/>
  <c r="U111" i="4"/>
  <c r="V111" i="4"/>
  <c r="AA139" i="4"/>
  <c r="Z139" i="4"/>
  <c r="U154" i="4"/>
  <c r="V154" i="4"/>
  <c r="AD154" i="4"/>
  <c r="AG154" i="4" s="1"/>
  <c r="AH154" i="4" s="1"/>
  <c r="Z72" i="4"/>
  <c r="AA72" i="4"/>
  <c r="W137" i="4"/>
  <c r="T137" i="4"/>
  <c r="W129" i="4"/>
  <c r="T129" i="4"/>
  <c r="AA128" i="4"/>
  <c r="Z128" i="4"/>
  <c r="V48" i="4"/>
  <c r="U48" i="4"/>
  <c r="AD48" i="4"/>
  <c r="AG48" i="4" s="1"/>
  <c r="AH48" i="4" s="1"/>
  <c r="W25" i="4"/>
  <c r="T25" i="4"/>
  <c r="AD31" i="4"/>
  <c r="AG31" i="4" s="1"/>
  <c r="AH31" i="4" s="1"/>
  <c r="U31" i="4"/>
  <c r="V31" i="4"/>
  <c r="W122" i="4"/>
  <c r="T122" i="4"/>
  <c r="V50" i="4"/>
  <c r="U50" i="4"/>
  <c r="AD50" i="4"/>
  <c r="AG50" i="4" s="1"/>
  <c r="AH50" i="4" s="1"/>
  <c r="Z99" i="4"/>
  <c r="AA99" i="4"/>
  <c r="U143" i="4"/>
  <c r="AD143" i="4"/>
  <c r="AG143" i="4" s="1"/>
  <c r="AH143" i="4" s="1"/>
  <c r="V143" i="4"/>
  <c r="AA143" i="4"/>
  <c r="Z143" i="4"/>
  <c r="U81" i="4"/>
  <c r="AD81" i="4"/>
  <c r="AG81" i="4" s="1"/>
  <c r="AH81" i="4" s="1"/>
  <c r="V81" i="4"/>
  <c r="W157" i="4"/>
  <c r="T157" i="4"/>
  <c r="W21" i="4"/>
  <c r="T21" i="4"/>
  <c r="U73" i="4"/>
  <c r="AD73" i="4"/>
  <c r="AG73" i="4" s="1"/>
  <c r="AH73" i="4" s="1"/>
  <c r="V73" i="4"/>
  <c r="V80" i="4"/>
  <c r="AD80" i="4"/>
  <c r="AG80" i="4" s="1"/>
  <c r="AH80" i="4" s="1"/>
  <c r="U80" i="4"/>
  <c r="T10" i="4"/>
  <c r="W10" i="4"/>
  <c r="W26" i="4"/>
  <c r="T26" i="4"/>
  <c r="W47" i="4"/>
  <c r="T47" i="4"/>
  <c r="U113" i="4"/>
  <c r="V113" i="4"/>
  <c r="AD113" i="4"/>
  <c r="AG113" i="4" s="1"/>
  <c r="AH113" i="4" s="1"/>
  <c r="AA113" i="4"/>
  <c r="Z113" i="4"/>
  <c r="Z112" i="4"/>
  <c r="AA112" i="4"/>
  <c r="Z169" i="4"/>
  <c r="AA169" i="4"/>
  <c r="U16" i="4"/>
  <c r="V16" i="4"/>
  <c r="AD16" i="4"/>
  <c r="AG16" i="4" s="1"/>
  <c r="AH16" i="4" s="1"/>
  <c r="T118" i="4"/>
  <c r="W118" i="4"/>
  <c r="AA132" i="4"/>
  <c r="Z132" i="4"/>
  <c r="AD149" i="4"/>
  <c r="AG149" i="4" s="1"/>
  <c r="AH149" i="4" s="1"/>
  <c r="U149" i="4"/>
  <c r="V149" i="4"/>
  <c r="Z27" i="4"/>
  <c r="AA27" i="4"/>
  <c r="W105" i="4"/>
  <c r="T105" i="4"/>
  <c r="AD63" i="4"/>
  <c r="AG63" i="4" s="1"/>
  <c r="AH63" i="4" s="1"/>
  <c r="V63" i="4"/>
  <c r="U63" i="4"/>
  <c r="V106" i="4"/>
  <c r="U106" i="4"/>
  <c r="AD106" i="4"/>
  <c r="AG106" i="4" s="1"/>
  <c r="AH106" i="4" s="1"/>
  <c r="AD124" i="4"/>
  <c r="AG124" i="4" s="1"/>
  <c r="AH124" i="4" s="1"/>
  <c r="V124" i="4"/>
  <c r="U124" i="4"/>
  <c r="T135" i="4"/>
  <c r="W135" i="4"/>
  <c r="AA68" i="4"/>
  <c r="Z68" i="4"/>
  <c r="Z170" i="4"/>
  <c r="AA170" i="4"/>
  <c r="AA77" i="4"/>
  <c r="Z77" i="4"/>
  <c r="T168" i="4"/>
  <c r="W168" i="4"/>
  <c r="AA37" i="4"/>
  <c r="Z37" i="4"/>
  <c r="Z94" i="4"/>
  <c r="AA94" i="4"/>
  <c r="Z108" i="4"/>
  <c r="AA108" i="4"/>
  <c r="Z7" i="4"/>
  <c r="AA7" i="4"/>
  <c r="V58" i="4"/>
  <c r="U58" i="4"/>
  <c r="AD58" i="4"/>
  <c r="AG58" i="4" s="1"/>
  <c r="AH58" i="4" s="1"/>
  <c r="W60" i="4"/>
  <c r="T60" i="4"/>
  <c r="T87" i="4"/>
  <c r="W87" i="4"/>
  <c r="AA89" i="4"/>
  <c r="Z89" i="4"/>
  <c r="V79" i="4"/>
  <c r="U79" i="4"/>
  <c r="AD79" i="4"/>
  <c r="AG79" i="4" s="1"/>
  <c r="AH79" i="4" s="1"/>
  <c r="T19" i="4"/>
  <c r="W19" i="4"/>
  <c r="T115" i="4"/>
  <c r="W115" i="4"/>
  <c r="AD159" i="4"/>
  <c r="AG159" i="4" s="1"/>
  <c r="AH159" i="4" s="1"/>
  <c r="U159" i="4"/>
  <c r="V159" i="4"/>
  <c r="U62" i="4"/>
  <c r="AD62" i="4"/>
  <c r="AG62" i="4" s="1"/>
  <c r="AH62" i="4" s="1"/>
  <c r="V62" i="4"/>
  <c r="T62" i="4"/>
  <c r="W62" i="4"/>
  <c r="W94" i="4"/>
  <c r="T94" i="4"/>
  <c r="W15" i="4"/>
  <c r="T15" i="4"/>
  <c r="W7" i="4"/>
  <c r="T7" i="4"/>
  <c r="W46" i="4"/>
  <c r="T46" i="4"/>
  <c r="T84" i="4"/>
  <c r="W84" i="4"/>
  <c r="Z58" i="4"/>
  <c r="AA58" i="4"/>
  <c r="Z82" i="4"/>
  <c r="AA82" i="4"/>
  <c r="Z60" i="4"/>
  <c r="AA60" i="4"/>
  <c r="AA145" i="4"/>
  <c r="Z145" i="4"/>
  <c r="U87" i="4"/>
  <c r="V87" i="4"/>
  <c r="AD87" i="4"/>
  <c r="AG87" i="4" s="1"/>
  <c r="AH87" i="4" s="1"/>
  <c r="AD89" i="4"/>
  <c r="AG89" i="4" s="1"/>
  <c r="AH89" i="4" s="1"/>
  <c r="U89" i="4"/>
  <c r="V89" i="4"/>
  <c r="T171" i="4"/>
  <c r="W171" i="4"/>
  <c r="Z171" i="4"/>
  <c r="AA171" i="4"/>
  <c r="Z115" i="4"/>
  <c r="AA115" i="4"/>
  <c r="U101" i="4"/>
  <c r="AD101" i="4"/>
  <c r="AG101" i="4" s="1"/>
  <c r="AH101" i="4" s="1"/>
  <c r="V101" i="4"/>
  <c r="AA66" i="4"/>
  <c r="Z66" i="4"/>
  <c r="AD90" i="4"/>
  <c r="AG90" i="4" s="1"/>
  <c r="AH90" i="4" s="1"/>
  <c r="V90" i="4"/>
  <c r="U90" i="4"/>
  <c r="W76" i="4"/>
  <c r="T76" i="4"/>
  <c r="U6" i="4"/>
  <c r="V6" i="4"/>
  <c r="AD6" i="4"/>
  <c r="AG6" i="4" s="1"/>
  <c r="AH6" i="4" s="1"/>
  <c r="W18" i="4"/>
  <c r="T18" i="4"/>
  <c r="T4" i="4"/>
  <c r="W4" i="4"/>
  <c r="AA97" i="4"/>
  <c r="Z97" i="4"/>
  <c r="Z96" i="4"/>
  <c r="AA96" i="4"/>
  <c r="W36" i="4"/>
  <c r="T36" i="4"/>
  <c r="W78" i="4"/>
  <c r="T78" i="4"/>
  <c r="AA110" i="4"/>
  <c r="Z110" i="4"/>
  <c r="V59" i="4"/>
  <c r="U59" i="4"/>
  <c r="AD59" i="4"/>
  <c r="AG59" i="4" s="1"/>
  <c r="AH59" i="4" s="1"/>
  <c r="U141" i="4"/>
  <c r="V141" i="4"/>
  <c r="AD141" i="4"/>
  <c r="AG141" i="4" s="1"/>
  <c r="AH141" i="4" s="1"/>
  <c r="AD5" i="4"/>
  <c r="AG5" i="4" s="1"/>
  <c r="AH5" i="4" s="1"/>
  <c r="V5" i="4"/>
  <c r="U5" i="4"/>
  <c r="V49" i="4"/>
  <c r="U49" i="4"/>
  <c r="AD49" i="4"/>
  <c r="AG49" i="4" s="1"/>
  <c r="AH49" i="4" s="1"/>
  <c r="W151" i="4"/>
  <c r="T151" i="4"/>
  <c r="W85" i="4"/>
  <c r="T85" i="4"/>
  <c r="T173" i="4"/>
  <c r="W173" i="4"/>
  <c r="T54" i="4"/>
  <c r="W54" i="4"/>
  <c r="T71" i="4"/>
  <c r="W71" i="4"/>
  <c r="T164" i="4"/>
  <c r="W164" i="4"/>
  <c r="T150" i="4"/>
  <c r="W150" i="4"/>
  <c r="AD144" i="4"/>
  <c r="AG144" i="4" s="1"/>
  <c r="AH144" i="4" s="1"/>
  <c r="U144" i="4"/>
  <c r="V144" i="4"/>
  <c r="T75" i="4"/>
  <c r="W75" i="4"/>
  <c r="W43" i="4"/>
  <c r="T43" i="4"/>
  <c r="AA13" i="4"/>
  <c r="Z13" i="4"/>
  <c r="T35" i="4"/>
  <c r="W35" i="4"/>
  <c r="V123" i="4"/>
  <c r="U123" i="4"/>
  <c r="AD123" i="4"/>
  <c r="AG123" i="4" s="1"/>
  <c r="AH123" i="4" s="1"/>
  <c r="AD167" i="4"/>
  <c r="AG167" i="4" s="1"/>
  <c r="AH167" i="4" s="1"/>
  <c r="V167" i="4"/>
  <c r="U167" i="4"/>
  <c r="T117" i="4"/>
  <c r="W117" i="4"/>
  <c r="U8" i="4"/>
  <c r="V8" i="4"/>
  <c r="AD8" i="4"/>
  <c r="AG8" i="4" s="1"/>
  <c r="AH8" i="4" s="1"/>
  <c r="T65" i="4"/>
  <c r="W65" i="4"/>
  <c r="V40" i="4"/>
  <c r="U40" i="4"/>
  <c r="AD40" i="4"/>
  <c r="AG40" i="4" s="1"/>
  <c r="AH40" i="4" s="1"/>
  <c r="Z148" i="4"/>
  <c r="AA148" i="4"/>
  <c r="AA174" i="4"/>
  <c r="Z174" i="4"/>
  <c r="Z30" i="4"/>
  <c r="AA30" i="4"/>
  <c r="AD30" i="4"/>
  <c r="AG30" i="4" s="1"/>
  <c r="AH30" i="4" s="1"/>
  <c r="U30" i="4"/>
  <c r="V30" i="4"/>
  <c r="U119" i="4"/>
  <c r="AD119" i="4"/>
  <c r="AG119" i="4" s="1"/>
  <c r="AH119" i="4" s="1"/>
  <c r="V119" i="4"/>
  <c r="AA147" i="4"/>
  <c r="Z147" i="4"/>
  <c r="W109" i="4"/>
  <c r="T109" i="4"/>
  <c r="V175" i="4"/>
  <c r="U175" i="4"/>
  <c r="AD175" i="4"/>
  <c r="AG175" i="4" s="1"/>
  <c r="AH175" i="4" s="1"/>
  <c r="AA98" i="4"/>
  <c r="Z98" i="4"/>
  <c r="T136" i="4"/>
  <c r="W136" i="4"/>
  <c r="W155" i="4"/>
  <c r="T155" i="4"/>
  <c r="AA20" i="4"/>
  <c r="Z20" i="4"/>
  <c r="T102" i="4"/>
  <c r="W102" i="4"/>
  <c r="AD133" i="4"/>
  <c r="AG133" i="4" s="1"/>
  <c r="AH133" i="4" s="1"/>
  <c r="U133" i="4"/>
  <c r="V133" i="4"/>
  <c r="AA45" i="4"/>
  <c r="Z45" i="4"/>
  <c r="AA95" i="4"/>
  <c r="Z95" i="4"/>
  <c r="T41" i="4"/>
  <c r="W41" i="4"/>
  <c r="T56" i="4"/>
  <c r="W56" i="4"/>
  <c r="T142" i="4"/>
  <c r="W142" i="4"/>
  <c r="V104" i="4"/>
  <c r="U104" i="4"/>
  <c r="AD104" i="4"/>
  <c r="AG104" i="4" s="1"/>
  <c r="AH104" i="4" s="1"/>
  <c r="AM178" i="5"/>
  <c r="AN178" i="5"/>
  <c r="W57" i="4"/>
  <c r="T57" i="4"/>
  <c r="T32" i="4"/>
  <c r="W32" i="4"/>
  <c r="V140" i="4"/>
  <c r="AD140" i="4"/>
  <c r="AG140" i="4" s="1"/>
  <c r="AH140" i="4" s="1"/>
  <c r="U140" i="4"/>
  <c r="V51" i="4"/>
  <c r="AD51" i="4"/>
  <c r="AG51" i="4" s="1"/>
  <c r="AH51" i="4" s="1"/>
  <c r="U51" i="4"/>
  <c r="W53" i="4"/>
  <c r="T53" i="4"/>
  <c r="W17" i="4"/>
  <c r="T17" i="4"/>
  <c r="AA61" i="4"/>
  <c r="Z61" i="4"/>
  <c r="T24" i="4"/>
  <c r="W24" i="4"/>
  <c r="W134" i="4"/>
  <c r="T134" i="4"/>
  <c r="AA111" i="4"/>
  <c r="Z111" i="4"/>
  <c r="V139" i="4"/>
  <c r="U139" i="4"/>
  <c r="AD139" i="4"/>
  <c r="AG139" i="4" s="1"/>
  <c r="AH139" i="4" s="1"/>
  <c r="AA154" i="4"/>
  <c r="Z154" i="4"/>
  <c r="T72" i="4"/>
  <c r="W72" i="4"/>
  <c r="U137" i="4"/>
  <c r="V137" i="4"/>
  <c r="AD137" i="4"/>
  <c r="AG137" i="4" s="1"/>
  <c r="AH137" i="4" s="1"/>
  <c r="T83" i="4"/>
  <c r="W83" i="4"/>
  <c r="U128" i="4"/>
  <c r="V128" i="4"/>
  <c r="AD128" i="4"/>
  <c r="AG128" i="4" s="1"/>
  <c r="AH128" i="4" s="1"/>
  <c r="W48" i="4"/>
  <c r="T48" i="4"/>
  <c r="V25" i="4"/>
  <c r="U25" i="4"/>
  <c r="AD25" i="4"/>
  <c r="AG25" i="4" s="1"/>
  <c r="AH25" i="4" s="1"/>
  <c r="AA69" i="4"/>
  <c r="Z69" i="4"/>
  <c r="T31" i="4"/>
  <c r="W31" i="4"/>
  <c r="AA122" i="4"/>
  <c r="Z122" i="4"/>
  <c r="U160" i="4"/>
  <c r="AD160" i="4"/>
  <c r="AG160" i="4" s="1"/>
  <c r="AH160" i="4" s="1"/>
  <c r="V160" i="4"/>
  <c r="U100" i="4"/>
  <c r="AD100" i="4"/>
  <c r="AG100" i="4" s="1"/>
  <c r="AH100" i="4" s="1"/>
  <c r="V100" i="4"/>
  <c r="Z50" i="4"/>
  <c r="AA50" i="4"/>
  <c r="AD99" i="4"/>
  <c r="AG99" i="4" s="1"/>
  <c r="AH99" i="4" s="1"/>
  <c r="V99" i="4"/>
  <c r="U99" i="4"/>
  <c r="T143" i="4"/>
  <c r="W143" i="4"/>
  <c r="W81" i="4"/>
  <c r="T81" i="4"/>
  <c r="V157" i="4"/>
  <c r="AD157" i="4"/>
  <c r="AG157" i="4" s="1"/>
  <c r="AH157" i="4" s="1"/>
  <c r="U157" i="4"/>
  <c r="Z21" i="4"/>
  <c r="AA21" i="4"/>
  <c r="T80" i="4"/>
  <c r="W80" i="4"/>
  <c r="Z55" i="4"/>
  <c r="AA55" i="4"/>
  <c r="W156" i="4"/>
  <c r="T156" i="4"/>
  <c r="AA92" i="4"/>
  <c r="Z92" i="4"/>
  <c r="U10" i="4"/>
  <c r="V10" i="4"/>
  <c r="AD10" i="4"/>
  <c r="AG10" i="4" s="1"/>
  <c r="AH10" i="4" s="1"/>
  <c r="Z47" i="4"/>
  <c r="AA47" i="4"/>
  <c r="T112" i="4"/>
  <c r="W112" i="4"/>
  <c r="V169" i="4"/>
  <c r="U169" i="4"/>
  <c r="AD169" i="4"/>
  <c r="AG169" i="4" s="1"/>
  <c r="AH169" i="4" s="1"/>
  <c r="V52" i="4"/>
  <c r="U52" i="4"/>
  <c r="AD52" i="4"/>
  <c r="AG52" i="4" s="1"/>
  <c r="AH52" i="4" s="1"/>
  <c r="AA16" i="4"/>
  <c r="Z16" i="4"/>
  <c r="Z118" i="4"/>
  <c r="AA118" i="4"/>
  <c r="Z63" i="4"/>
  <c r="AA63" i="4"/>
  <c r="Z106" i="4"/>
  <c r="AA106" i="4"/>
  <c r="W11" i="4"/>
  <c r="T11" i="4"/>
  <c r="AA135" i="4"/>
  <c r="Z135" i="4"/>
  <c r="U135" i="4"/>
  <c r="AD135" i="4"/>
  <c r="AG135" i="4" s="1"/>
  <c r="AH135" i="4" s="1"/>
  <c r="V135" i="4"/>
  <c r="U166" i="4"/>
  <c r="AD166" i="4"/>
  <c r="AG166" i="4" s="1"/>
  <c r="AH166" i="4" s="1"/>
  <c r="V166" i="4"/>
  <c r="AA70" i="4"/>
  <c r="Z70" i="4"/>
  <c r="W88" i="4"/>
  <c r="T88" i="4"/>
  <c r="AA88" i="4"/>
  <c r="Z88" i="4"/>
  <c r="U77" i="4"/>
  <c r="AD77" i="4"/>
  <c r="AG77" i="4" s="1"/>
  <c r="AH77" i="4" s="1"/>
  <c r="V77" i="4"/>
  <c r="Z168" i="4"/>
  <c r="AA168" i="4"/>
  <c r="AD15" i="4"/>
  <c r="AG15" i="4" s="1"/>
  <c r="AH15" i="4" s="1"/>
  <c r="V15" i="4"/>
  <c r="U15" i="4"/>
  <c r="Z172" i="4"/>
  <c r="AA172" i="4"/>
  <c r="W131" i="4"/>
  <c r="T131" i="4"/>
  <c r="AD84" i="4"/>
  <c r="AG84" i="4" s="1"/>
  <c r="AH84" i="4" s="1"/>
  <c r="V84" i="4"/>
  <c r="U84" i="4"/>
  <c r="W82" i="4"/>
  <c r="T82" i="4"/>
  <c r="U171" i="4"/>
  <c r="AD171" i="4"/>
  <c r="AG171" i="4" s="1"/>
  <c r="AH171" i="4" s="1"/>
  <c r="V171" i="4"/>
  <c r="T37" i="4"/>
  <c r="W37" i="4"/>
  <c r="AA15" i="4"/>
  <c r="Z15" i="4"/>
  <c r="V108" i="4"/>
  <c r="AD108" i="4"/>
  <c r="AG108" i="4" s="1"/>
  <c r="AH108" i="4" s="1"/>
  <c r="U108" i="4"/>
  <c r="V7" i="4"/>
  <c r="U7" i="4"/>
  <c r="AD7" i="4"/>
  <c r="AG7" i="4" s="1"/>
  <c r="AH7" i="4" s="1"/>
  <c r="AA131" i="4"/>
  <c r="Z131" i="4"/>
  <c r="Z84" i="4"/>
  <c r="AA84" i="4"/>
  <c r="W58" i="4"/>
  <c r="T58" i="4"/>
  <c r="U60" i="4"/>
  <c r="V60" i="4"/>
  <c r="AD60" i="4"/>
  <c r="AG60" i="4" s="1"/>
  <c r="AH60" i="4" s="1"/>
  <c r="U145" i="4"/>
  <c r="AD145" i="4"/>
  <c r="AG145" i="4" s="1"/>
  <c r="AH145" i="4" s="1"/>
  <c r="V145" i="4"/>
  <c r="Z87" i="4"/>
  <c r="AA87" i="4"/>
  <c r="AA79" i="4"/>
  <c r="Z79" i="4"/>
  <c r="Z19" i="4"/>
  <c r="AA19" i="4"/>
  <c r="U115" i="4"/>
  <c r="V115" i="4"/>
  <c r="AD115" i="4"/>
  <c r="AG115" i="4" s="1"/>
  <c r="AH115" i="4" s="1"/>
  <c r="Z159" i="4"/>
  <c r="AA159" i="4"/>
  <c r="AA101" i="4"/>
  <c r="Z101" i="4"/>
  <c r="U28" i="4"/>
  <c r="AD28" i="4"/>
  <c r="AG28" i="4" s="1"/>
  <c r="AH28" i="4" s="1"/>
  <c r="V28" i="4"/>
  <c r="T90" i="4"/>
  <c r="W90" i="4"/>
  <c r="U76" i="4"/>
  <c r="AD76" i="4"/>
  <c r="AG76" i="4" s="1"/>
  <c r="AH76" i="4" s="1"/>
  <c r="V76" i="4"/>
  <c r="U146" i="4"/>
  <c r="AD146" i="4"/>
  <c r="AG146" i="4" s="1"/>
  <c r="AH146" i="4" s="1"/>
  <c r="V146" i="4"/>
  <c r="T6" i="4"/>
  <c r="W6" i="4"/>
  <c r="V18" i="4"/>
  <c r="U18" i="4"/>
  <c r="AD18" i="4"/>
  <c r="AG18" i="4" s="1"/>
  <c r="AH18" i="4" s="1"/>
  <c r="T97" i="4"/>
  <c r="W97" i="4"/>
  <c r="W153" i="4"/>
  <c r="T153" i="4"/>
  <c r="U158" i="4"/>
  <c r="AD158" i="4"/>
  <c r="AG158" i="4" s="1"/>
  <c r="AH158" i="4" s="1"/>
  <c r="V158" i="4"/>
  <c r="AA36" i="4"/>
  <c r="Z36" i="4"/>
  <c r="U110" i="4"/>
  <c r="AD110" i="4"/>
  <c r="AG110" i="4" s="1"/>
  <c r="AH110" i="4" s="1"/>
  <c r="V110" i="4"/>
  <c r="AA141" i="4"/>
  <c r="Z141" i="4"/>
  <c r="T5" i="4"/>
  <c r="W5" i="4"/>
  <c r="Z49" i="4"/>
  <c r="AA49" i="4"/>
  <c r="U12" i="4"/>
  <c r="V12" i="4"/>
  <c r="AD12" i="4"/>
  <c r="AG12" i="4" s="1"/>
  <c r="AH12" i="4" s="1"/>
  <c r="T107" i="4"/>
  <c r="W107" i="4"/>
  <c r="V85" i="4"/>
  <c r="U85" i="4"/>
  <c r="AD85" i="4"/>
  <c r="AG85" i="4" s="1"/>
  <c r="AH85" i="4" s="1"/>
  <c r="W29" i="4"/>
  <c r="T29" i="4"/>
  <c r="AA86" i="4"/>
  <c r="Z86" i="4"/>
  <c r="Z164" i="4"/>
  <c r="AA164" i="4"/>
  <c r="AA14" i="4"/>
  <c r="Z14" i="4"/>
  <c r="AD33" i="4"/>
  <c r="AG33" i="4" s="1"/>
  <c r="AH33" i="4" s="1"/>
  <c r="V33" i="4"/>
  <c r="U33" i="4"/>
  <c r="AA121" i="4"/>
  <c r="Z121" i="4"/>
  <c r="T144" i="4"/>
  <c r="W144" i="4"/>
  <c r="T13" i="4"/>
  <c r="W13" i="4"/>
  <c r="U35" i="4"/>
  <c r="AD35" i="4"/>
  <c r="AG35" i="4" s="1"/>
  <c r="AH35" i="4" s="1"/>
  <c r="V35" i="4"/>
  <c r="AA35" i="4"/>
  <c r="Z35" i="4"/>
  <c r="AA167" i="4"/>
  <c r="Z167" i="4"/>
  <c r="T8" i="4"/>
  <c r="W8" i="4"/>
  <c r="U65" i="4"/>
  <c r="V65" i="4"/>
  <c r="AD65" i="4"/>
  <c r="AG65" i="4" s="1"/>
  <c r="AH65" i="4" s="1"/>
  <c r="W64" i="4"/>
  <c r="T64" i="4"/>
  <c r="V148" i="4"/>
  <c r="U148" i="4"/>
  <c r="AD148" i="4"/>
  <c r="AG148" i="4" s="1"/>
  <c r="AH148" i="4" s="1"/>
  <c r="U130" i="4"/>
  <c r="AD130" i="4"/>
  <c r="AG130" i="4" s="1"/>
  <c r="AH130" i="4" s="1"/>
  <c r="V130" i="4"/>
  <c r="AD174" i="4"/>
  <c r="AG174" i="4" s="1"/>
  <c r="AH174" i="4" s="1"/>
  <c r="V174" i="4"/>
  <c r="U174" i="4"/>
  <c r="V109" i="4"/>
  <c r="AD109" i="4"/>
  <c r="AG109" i="4" s="1"/>
  <c r="AH109" i="4" s="1"/>
  <c r="U109" i="4"/>
  <c r="W175" i="4"/>
  <c r="T175" i="4"/>
  <c r="AA44" i="4"/>
  <c r="Z44" i="4"/>
  <c r="Z74" i="4"/>
  <c r="AA74" i="4"/>
  <c r="AD98" i="4"/>
  <c r="AG98" i="4" s="1"/>
  <c r="AH98" i="4" s="1"/>
  <c r="U98" i="4"/>
  <c r="V98" i="4"/>
  <c r="AD136" i="4"/>
  <c r="AG136" i="4" s="1"/>
  <c r="AH136" i="4" s="1"/>
  <c r="V136" i="4"/>
  <c r="U136" i="4"/>
  <c r="AA23" i="4"/>
  <c r="Z23" i="4"/>
  <c r="Z127" i="4"/>
  <c r="AA127" i="4"/>
  <c r="U155" i="4"/>
  <c r="AD155" i="4"/>
  <c r="AG155" i="4" s="1"/>
  <c r="AH155" i="4" s="1"/>
  <c r="V155" i="4"/>
  <c r="U42" i="4"/>
  <c r="AD42" i="4"/>
  <c r="AG42" i="4" s="1"/>
  <c r="AH42" i="4" s="1"/>
  <c r="V42" i="4"/>
  <c r="AA91" i="4"/>
  <c r="Z91" i="4"/>
  <c r="V67" i="4"/>
  <c r="U67" i="4"/>
  <c r="AD67" i="4"/>
  <c r="AG67" i="4" s="1"/>
  <c r="AH67" i="4" s="1"/>
  <c r="T20" i="4"/>
  <c r="W20" i="4"/>
  <c r="AA133" i="4"/>
  <c r="Z133" i="4"/>
  <c r="T45" i="4"/>
  <c r="W45" i="4"/>
  <c r="Z56" i="4"/>
  <c r="AA56" i="4"/>
  <c r="Z32" i="4"/>
  <c r="AA32" i="4"/>
  <c r="U126" i="4"/>
  <c r="V126" i="4"/>
  <c r="AD126" i="4"/>
  <c r="AG126" i="4" s="1"/>
  <c r="AH126" i="4" s="1"/>
  <c r="W116" i="4"/>
  <c r="T116" i="4"/>
  <c r="T161" i="4"/>
  <c r="W161" i="4"/>
  <c r="U22" i="4"/>
  <c r="V22" i="4"/>
  <c r="AD22" i="4"/>
  <c r="AG22" i="4" s="1"/>
  <c r="AH22" i="4" s="1"/>
  <c r="AD53" i="4"/>
  <c r="AG53" i="4" s="1"/>
  <c r="AH53" i="4" s="1"/>
  <c r="V53" i="4"/>
  <c r="U53" i="4"/>
  <c r="T61" i="4"/>
  <c r="W61" i="4"/>
  <c r="AA24" i="4"/>
  <c r="Z24" i="4"/>
  <c r="V114" i="4"/>
  <c r="AD114" i="4"/>
  <c r="AG114" i="4" s="1"/>
  <c r="AH114" i="4" s="1"/>
  <c r="U114" i="4"/>
  <c r="AA152" i="4"/>
  <c r="Z152" i="4"/>
  <c r="AA134" i="4"/>
  <c r="Z134" i="4"/>
  <c r="W154" i="4"/>
  <c r="T154" i="4"/>
  <c r="W34" i="4"/>
  <c r="T34" i="4"/>
  <c r="AA34" i="4"/>
  <c r="Z34" i="4"/>
  <c r="AD83" i="4"/>
  <c r="AG83" i="4" s="1"/>
  <c r="AH83" i="4" s="1"/>
  <c r="U83" i="4"/>
  <c r="V83" i="4"/>
  <c r="U129" i="4"/>
  <c r="V129" i="4"/>
  <c r="AD129" i="4"/>
  <c r="AG129" i="4" s="1"/>
  <c r="AH129" i="4" s="1"/>
  <c r="T128" i="4"/>
  <c r="W128" i="4"/>
  <c r="AA25" i="4"/>
  <c r="Z25" i="4"/>
  <c r="U69" i="4"/>
  <c r="AD69" i="4"/>
  <c r="AG69" i="4" s="1"/>
  <c r="AH69" i="4" s="1"/>
  <c r="V69" i="4"/>
  <c r="AA31" i="4"/>
  <c r="Z31" i="4"/>
  <c r="Z100" i="4"/>
  <c r="AA100" i="4"/>
  <c r="AA157" i="4"/>
  <c r="Z157" i="4"/>
  <c r="AA73" i="4"/>
  <c r="Z73" i="4"/>
  <c r="AD55" i="4"/>
  <c r="AG55" i="4" s="1"/>
  <c r="AH55" i="4" s="1"/>
  <c r="V55" i="4"/>
  <c r="U55" i="4"/>
  <c r="Z156" i="4"/>
  <c r="AA156" i="4"/>
  <c r="T92" i="4"/>
  <c r="W92" i="4"/>
  <c r="AA10" i="4"/>
  <c r="Z10" i="4"/>
  <c r="Z26" i="4"/>
  <c r="AA26" i="4"/>
  <c r="U47" i="4"/>
  <c r="V47" i="4"/>
  <c r="AD47" i="4"/>
  <c r="AG47" i="4" s="1"/>
  <c r="AH47" i="4" s="1"/>
  <c r="W52" i="4"/>
  <c r="T52" i="4"/>
  <c r="AD132" i="4"/>
  <c r="AG132" i="4" s="1"/>
  <c r="AH132" i="4" s="1"/>
  <c r="U132" i="4"/>
  <c r="V132" i="4"/>
  <c r="Z149" i="4"/>
  <c r="AA149" i="4"/>
  <c r="AD27" i="4"/>
  <c r="AG27" i="4" s="1"/>
  <c r="AH27" i="4" s="1"/>
  <c r="U27" i="4"/>
  <c r="V27" i="4"/>
  <c r="T27" i="4"/>
  <c r="W27" i="4"/>
  <c r="Z105" i="4"/>
  <c r="AA105" i="4"/>
  <c r="T63" i="4"/>
  <c r="W63" i="4"/>
  <c r="T106" i="4"/>
  <c r="W106" i="4"/>
  <c r="W124" i="4"/>
  <c r="T124" i="4"/>
  <c r="AA11" i="4"/>
  <c r="Z11" i="4"/>
  <c r="AA166" i="4"/>
  <c r="Z166" i="4"/>
  <c r="T70" i="4"/>
  <c r="W70" i="4"/>
  <c r="W68" i="4"/>
  <c r="T68" i="4"/>
  <c r="W170" i="4"/>
  <c r="T170" i="4"/>
  <c r="T77" i="4"/>
  <c r="W77" i="4"/>
  <c r="V168" i="4"/>
  <c r="U168" i="4"/>
  <c r="AD168" i="4"/>
  <c r="AG168" i="4" s="1"/>
  <c r="AH168" i="4" s="1"/>
  <c r="AD94" i="4"/>
  <c r="AG94" i="4" s="1"/>
  <c r="AH94" i="4" s="1"/>
  <c r="V94" i="4"/>
  <c r="U94" i="4"/>
  <c r="W172" i="4"/>
  <c r="T172" i="4"/>
  <c r="L177" i="4"/>
  <c r="S3" i="4"/>
  <c r="N3" i="4"/>
  <c r="Q3" i="4" s="1"/>
  <c r="Y3" i="4"/>
  <c r="O3" i="4"/>
  <c r="AC3" i="4"/>
  <c r="U37" i="4"/>
  <c r="AD37" i="4"/>
  <c r="AG37" i="4" s="1"/>
  <c r="AH37" i="4" s="1"/>
  <c r="V37" i="4"/>
  <c r="Z62" i="4"/>
  <c r="AA62" i="4"/>
  <c r="V172" i="4"/>
  <c r="U172" i="4"/>
  <c r="AD172" i="4"/>
  <c r="AG172" i="4" s="1"/>
  <c r="AH172" i="4" s="1"/>
  <c r="T108" i="4"/>
  <c r="W108" i="4"/>
  <c r="Z46" i="4"/>
  <c r="AA46" i="4"/>
  <c r="V46" i="4"/>
  <c r="U46" i="4"/>
  <c r="AD46" i="4"/>
  <c r="AG46" i="4" s="1"/>
  <c r="AH46" i="4" s="1"/>
  <c r="AD131" i="4"/>
  <c r="AG131" i="4" s="1"/>
  <c r="AH131" i="4" s="1"/>
  <c r="V131" i="4"/>
  <c r="U131" i="4"/>
  <c r="AD82" i="4"/>
  <c r="AG82" i="4" s="1"/>
  <c r="AH82" i="4" s="1"/>
  <c r="V82" i="4"/>
  <c r="U82" i="4"/>
  <c r="T145" i="4"/>
  <c r="W145" i="4"/>
  <c r="T89" i="4"/>
  <c r="W89" i="4"/>
  <c r="T79" i="4"/>
  <c r="W79" i="4"/>
  <c r="U19" i="4"/>
  <c r="AD19" i="4"/>
  <c r="AG19" i="4" s="1"/>
  <c r="AH19" i="4" s="1"/>
  <c r="V19" i="4"/>
  <c r="T159" i="4"/>
  <c r="W159" i="4"/>
  <c r="AA28" i="4"/>
  <c r="Z28" i="4"/>
  <c r="T66" i="4"/>
  <c r="W66" i="4"/>
  <c r="Z76" i="4"/>
  <c r="AA76" i="4"/>
  <c r="T146" i="4"/>
  <c r="W146" i="4"/>
  <c r="AA6" i="4"/>
  <c r="Z6" i="4"/>
  <c r="Z18" i="4"/>
  <c r="AA18" i="4"/>
  <c r="U4" i="4"/>
  <c r="V4" i="4"/>
  <c r="AD4" i="4"/>
  <c r="AG4" i="4" s="1"/>
  <c r="AH4" i="4" s="1"/>
  <c r="U96" i="4"/>
  <c r="V96" i="4"/>
  <c r="AD96" i="4"/>
  <c r="AG96" i="4" s="1"/>
  <c r="AH96" i="4" s="1"/>
  <c r="AA153" i="4"/>
  <c r="Z153" i="4"/>
  <c r="U36" i="4"/>
  <c r="AD36" i="4"/>
  <c r="AG36" i="4" s="1"/>
  <c r="AH36" i="4" s="1"/>
  <c r="V36" i="4"/>
  <c r="AA78" i="4"/>
  <c r="Z78" i="4"/>
  <c r="W59" i="4"/>
  <c r="T59" i="4"/>
  <c r="W141" i="4"/>
  <c r="T141" i="4"/>
  <c r="Z5" i="4"/>
  <c r="AA5" i="4"/>
  <c r="W49" i="4"/>
  <c r="T49" i="4"/>
  <c r="W12" i="4"/>
  <c r="T12" i="4"/>
  <c r="AA107" i="4"/>
  <c r="Z107" i="4"/>
  <c r="AD151" i="4"/>
  <c r="AG151" i="4" s="1"/>
  <c r="AH151" i="4" s="1"/>
  <c r="U151" i="4"/>
  <c r="V151" i="4"/>
  <c r="AD173" i="4"/>
  <c r="AG173" i="4" s="1"/>
  <c r="AH173" i="4" s="1"/>
  <c r="V173" i="4"/>
  <c r="U173" i="4"/>
  <c r="V29" i="4"/>
  <c r="U29" i="4"/>
  <c r="AD29" i="4"/>
  <c r="AG29" i="4" s="1"/>
  <c r="AH29" i="4" s="1"/>
  <c r="V54" i="4"/>
  <c r="U54" i="4"/>
  <c r="AD54" i="4"/>
  <c r="AG54" i="4" s="1"/>
  <c r="AH54" i="4" s="1"/>
  <c r="W86" i="4"/>
  <c r="T86" i="4"/>
  <c r="AD71" i="4"/>
  <c r="AG71" i="4" s="1"/>
  <c r="AH71" i="4" s="1"/>
  <c r="U71" i="4"/>
  <c r="V71" i="4"/>
  <c r="AD150" i="4"/>
  <c r="AG150" i="4" s="1"/>
  <c r="AH150" i="4" s="1"/>
  <c r="V150" i="4"/>
  <c r="U150" i="4"/>
  <c r="W14" i="4"/>
  <c r="T14" i="4"/>
  <c r="T33" i="4"/>
  <c r="W33" i="4"/>
  <c r="T121" i="4"/>
  <c r="W121" i="4"/>
  <c r="U75" i="4"/>
  <c r="V75" i="4"/>
  <c r="AD75" i="4"/>
  <c r="AG75" i="4" s="1"/>
  <c r="AH75" i="4" s="1"/>
  <c r="AA43" i="4"/>
  <c r="Z43" i="4"/>
  <c r="W123" i="4"/>
  <c r="T123" i="4"/>
  <c r="T167" i="4"/>
  <c r="W167" i="4"/>
  <c r="U117" i="4"/>
  <c r="AD117" i="4"/>
  <c r="AG117" i="4" s="1"/>
  <c r="AH117" i="4" s="1"/>
  <c r="V117" i="4"/>
  <c r="AA65" i="4"/>
  <c r="Z65" i="4"/>
  <c r="U64" i="4"/>
  <c r="V64" i="4"/>
  <c r="AD64" i="4"/>
  <c r="AG64" i="4" s="1"/>
  <c r="AH64" i="4" s="1"/>
  <c r="AA40" i="4"/>
  <c r="Z40" i="4"/>
  <c r="W148" i="4"/>
  <c r="T148" i="4"/>
  <c r="Z130" i="4"/>
  <c r="AA130" i="4"/>
  <c r="W174" i="4"/>
  <c r="T174" i="4"/>
  <c r="W30" i="4"/>
  <c r="T30" i="4"/>
  <c r="W119" i="4"/>
  <c r="T119" i="4"/>
  <c r="AD147" i="4"/>
  <c r="AG147" i="4" s="1"/>
  <c r="AH147" i="4" s="1"/>
  <c r="V147" i="4"/>
  <c r="U147" i="4"/>
  <c r="U44" i="4"/>
  <c r="AD44" i="4"/>
  <c r="AG44" i="4" s="1"/>
  <c r="AH44" i="4" s="1"/>
  <c r="V44" i="4"/>
  <c r="AD74" i="4"/>
  <c r="AG74" i="4" s="1"/>
  <c r="AH74" i="4" s="1"/>
  <c r="V74" i="4"/>
  <c r="U74" i="4"/>
  <c r="V23" i="4"/>
  <c r="U23" i="4"/>
  <c r="AD23" i="4"/>
  <c r="AG23" i="4" s="1"/>
  <c r="AH23" i="4" s="1"/>
  <c r="W23" i="4"/>
  <c r="T23" i="4"/>
  <c r="W127" i="4"/>
  <c r="T127" i="4"/>
  <c r="AA155" i="4"/>
  <c r="Z155" i="4"/>
  <c r="T42" i="4"/>
  <c r="W42" i="4"/>
  <c r="W91" i="4"/>
  <c r="T91" i="4"/>
  <c r="AA67" i="4"/>
  <c r="Z67" i="4"/>
  <c r="U20" i="4"/>
  <c r="AD20" i="4"/>
  <c r="AG20" i="4" s="1"/>
  <c r="AH20" i="4" s="1"/>
  <c r="V20" i="4"/>
  <c r="Z102" i="4"/>
  <c r="AA102" i="4"/>
  <c r="W133" i="4"/>
  <c r="T133" i="4"/>
  <c r="U45" i="4"/>
  <c r="AD45" i="4"/>
  <c r="AG45" i="4" s="1"/>
  <c r="AH45" i="4" s="1"/>
  <c r="V45" i="4"/>
  <c r="W95" i="4"/>
  <c r="T95" i="4"/>
  <c r="AA41" i="4"/>
  <c r="Z41" i="4"/>
  <c r="U56" i="4"/>
  <c r="AD56" i="4"/>
  <c r="AG56" i="4" s="1"/>
  <c r="AH56" i="4" s="1"/>
  <c r="V56" i="4"/>
  <c r="V142" i="4"/>
  <c r="U142" i="4"/>
  <c r="AD142" i="4"/>
  <c r="AG142" i="4" s="1"/>
  <c r="AH142" i="4" s="1"/>
  <c r="Z104" i="4"/>
  <c r="AA104" i="4"/>
  <c r="AA57" i="4"/>
  <c r="Z57" i="4"/>
  <c r="AD57" i="4"/>
  <c r="AG57" i="4" s="1"/>
  <c r="AH57" i="4" s="1"/>
  <c r="U57" i="4"/>
  <c r="V57" i="4"/>
  <c r="T126" i="4"/>
  <c r="W126" i="4"/>
  <c r="Z140" i="4"/>
  <c r="AA140" i="4"/>
  <c r="V116" i="4"/>
  <c r="AD116" i="4"/>
  <c r="AG116" i="4" s="1"/>
  <c r="AH116" i="4" s="1"/>
  <c r="U116" i="4"/>
  <c r="Z161" i="4"/>
  <c r="AA161" i="4"/>
  <c r="W22" i="4"/>
  <c r="T22" i="4"/>
  <c r="Z51" i="4"/>
  <c r="AA51" i="4"/>
  <c r="T163" i="4"/>
  <c r="W163" i="4"/>
  <c r="V163" i="4"/>
  <c r="AD163" i="4"/>
  <c r="AG163" i="4" s="1"/>
  <c r="AH163" i="4" s="1"/>
  <c r="U163" i="4"/>
  <c r="Z53" i="4"/>
  <c r="AA53" i="4"/>
  <c r="Z17" i="4"/>
  <c r="AA17" i="4"/>
  <c r="U24" i="4"/>
  <c r="AD24" i="4"/>
  <c r="AG24" i="4" s="1"/>
  <c r="AH24" i="4" s="1"/>
  <c r="V24" i="4"/>
  <c r="U152" i="4"/>
  <c r="AD152" i="4"/>
  <c r="AG152" i="4" s="1"/>
  <c r="AH152" i="4" s="1"/>
  <c r="V152" i="4"/>
  <c r="T111" i="4"/>
  <c r="W111" i="4"/>
  <c r="T139" i="4"/>
  <c r="W139" i="4"/>
  <c r="U72" i="4"/>
  <c r="V72" i="4"/>
  <c r="AD72" i="4"/>
  <c r="AG72" i="4" s="1"/>
  <c r="AH72" i="4" s="1"/>
  <c r="Z137" i="4"/>
  <c r="AA137" i="4"/>
  <c r="AD34" i="4"/>
  <c r="AG34" i="4" s="1"/>
  <c r="AH34" i="4" s="1"/>
  <c r="U34" i="4"/>
  <c r="V34" i="4"/>
  <c r="Z83" i="4"/>
  <c r="AA83" i="4"/>
  <c r="Z129" i="4"/>
  <c r="AA129" i="4"/>
  <c r="AA48" i="4"/>
  <c r="Z48" i="4"/>
  <c r="T69" i="4"/>
  <c r="W69" i="4"/>
  <c r="U122" i="4"/>
  <c r="V122" i="4"/>
  <c r="AD122" i="4"/>
  <c r="AG122" i="4" s="1"/>
  <c r="AH122" i="4" s="1"/>
  <c r="T160" i="4"/>
  <c r="W160" i="4"/>
  <c r="Z160" i="4"/>
  <c r="AA160" i="4"/>
  <c r="W100" i="4"/>
  <c r="T100" i="4"/>
  <c r="W50" i="4"/>
  <c r="T50" i="4"/>
  <c r="W99" i="4"/>
  <c r="T99" i="4"/>
  <c r="AA81" i="4"/>
  <c r="Z81" i="4"/>
  <c r="AD21" i="4"/>
  <c r="AG21" i="4" s="1"/>
  <c r="AH21" i="4" s="1"/>
  <c r="V21" i="4"/>
  <c r="U21" i="4"/>
  <c r="T73" i="4"/>
  <c r="W73" i="4"/>
  <c r="AA80" i="4"/>
  <c r="Z80" i="4"/>
  <c r="T55" i="4"/>
  <c r="W55" i="4"/>
  <c r="U156" i="4"/>
  <c r="V156" i="4"/>
  <c r="AD156" i="4"/>
  <c r="AG156" i="4" s="1"/>
  <c r="AH156" i="4" s="1"/>
  <c r="U92" i="4"/>
  <c r="V92" i="4"/>
  <c r="AD92" i="4"/>
  <c r="AG92" i="4" s="1"/>
  <c r="AH92" i="4" s="1"/>
  <c r="U26" i="4"/>
  <c r="V26" i="4"/>
  <c r="AD26" i="4"/>
  <c r="AG26" i="4" s="1"/>
  <c r="AH26" i="4" s="1"/>
  <c r="W113" i="4"/>
  <c r="T113" i="4"/>
  <c r="U112" i="4"/>
  <c r="AD112" i="4"/>
  <c r="AG112" i="4" s="1"/>
  <c r="AH112" i="4" s="1"/>
  <c r="V112" i="4"/>
  <c r="W169" i="4"/>
  <c r="T169" i="4"/>
  <c r="AA52" i="4"/>
  <c r="Z52" i="4"/>
  <c r="T16" i="4"/>
  <c r="W16" i="4"/>
  <c r="AD118" i="4"/>
  <c r="AG118" i="4" s="1"/>
  <c r="AH118" i="4" s="1"/>
  <c r="V118" i="4"/>
  <c r="U118" i="4"/>
  <c r="T132" i="4"/>
  <c r="W132" i="4"/>
  <c r="T149" i="4"/>
  <c r="W149" i="4"/>
  <c r="U105" i="4"/>
  <c r="AD105" i="4"/>
  <c r="AG105" i="4" s="1"/>
  <c r="AH105" i="4" s="1"/>
  <c r="V105" i="4"/>
  <c r="AA124" i="4"/>
  <c r="Z124" i="4"/>
  <c r="V11" i="4"/>
  <c r="U11" i="4"/>
  <c r="AD11" i="4"/>
  <c r="AG11" i="4" s="1"/>
  <c r="AH11" i="4" s="1"/>
  <c r="T166" i="4"/>
  <c r="W166" i="4"/>
  <c r="U70" i="4"/>
  <c r="V70" i="4"/>
  <c r="AD70" i="4"/>
  <c r="AG70" i="4" s="1"/>
  <c r="AH70" i="4" s="1"/>
  <c r="U68" i="4"/>
  <c r="V68" i="4"/>
  <c r="AD68" i="4"/>
  <c r="AG68" i="4" s="1"/>
  <c r="AH68" i="4" s="1"/>
  <c r="AD170" i="4"/>
  <c r="AG170" i="4" s="1"/>
  <c r="AH170" i="4" s="1"/>
  <c r="U170" i="4"/>
  <c r="V170" i="4"/>
  <c r="AD88" i="4"/>
  <c r="AG88" i="4" s="1"/>
  <c r="AH88" i="4" s="1"/>
  <c r="U88" i="4"/>
  <c r="V88" i="4"/>
  <c r="Z3" i="4" l="1"/>
  <c r="Z177" i="4" s="1"/>
  <c r="Y177" i="4"/>
  <c r="Y178" i="4" s="1"/>
  <c r="AA3" i="4"/>
  <c r="AA177" i="4" s="1"/>
  <c r="Q177" i="4"/>
  <c r="Q178" i="4" s="1"/>
  <c r="V3" i="4"/>
  <c r="V177" i="4" s="1"/>
  <c r="U3" i="4"/>
  <c r="U177" i="4" s="1"/>
  <c r="AD3" i="4"/>
  <c r="AC177" i="4"/>
  <c r="AC178" i="4" s="1"/>
  <c r="H16" i="1" s="1"/>
  <c r="AE3" i="4"/>
  <c r="W3" i="4"/>
  <c r="T3" i="4"/>
  <c r="T177" i="4" s="1"/>
  <c r="S177" i="4"/>
  <c r="N177" i="4"/>
  <c r="O38" i="4"/>
  <c r="O165" i="4"/>
  <c r="O103" i="4"/>
  <c r="O39" i="4"/>
  <c r="O120" i="4"/>
  <c r="O125" i="4"/>
  <c r="O93" i="4"/>
  <c r="O162" i="4"/>
  <c r="O9" i="4"/>
  <c r="O138" i="4"/>
  <c r="O168" i="4"/>
  <c r="O77" i="4"/>
  <c r="O135" i="4"/>
  <c r="O106" i="4"/>
  <c r="O47" i="4"/>
  <c r="O10" i="4"/>
  <c r="O21" i="4"/>
  <c r="O157" i="4"/>
  <c r="O143" i="4"/>
  <c r="O99" i="4"/>
  <c r="O31" i="4"/>
  <c r="O25" i="4"/>
  <c r="O128" i="4"/>
  <c r="O154" i="4"/>
  <c r="O134" i="4"/>
  <c r="O61" i="4"/>
  <c r="O136" i="4"/>
  <c r="O98" i="4"/>
  <c r="O175" i="4"/>
  <c r="O109" i="4"/>
  <c r="O8" i="4"/>
  <c r="O123" i="4"/>
  <c r="O35" i="4"/>
  <c r="O13" i="4"/>
  <c r="O144" i="4"/>
  <c r="O85" i="4"/>
  <c r="O110" i="4"/>
  <c r="O97" i="4"/>
  <c r="O90" i="4"/>
  <c r="O115" i="4"/>
  <c r="O171" i="4"/>
  <c r="O87" i="4"/>
  <c r="O58" i="4"/>
  <c r="O84" i="4"/>
  <c r="O7" i="4"/>
  <c r="O15" i="4"/>
  <c r="O94" i="4"/>
  <c r="O62" i="4"/>
  <c r="O88" i="4"/>
  <c r="O118" i="4"/>
  <c r="O16" i="4"/>
  <c r="O169" i="4"/>
  <c r="O26" i="4"/>
  <c r="O80" i="4"/>
  <c r="O50" i="4"/>
  <c r="O122" i="4"/>
  <c r="O48" i="4"/>
  <c r="O137" i="4"/>
  <c r="O72" i="4"/>
  <c r="O139" i="4"/>
  <c r="O111" i="4"/>
  <c r="O17" i="4"/>
  <c r="O51" i="4"/>
  <c r="O140" i="4"/>
  <c r="O104" i="4"/>
  <c r="O142" i="4"/>
  <c r="O41" i="4"/>
  <c r="O95" i="4"/>
  <c r="O133" i="4"/>
  <c r="O102" i="4"/>
  <c r="O147" i="4"/>
  <c r="O119" i="4"/>
  <c r="O30" i="4"/>
  <c r="O40" i="4"/>
  <c r="O117" i="4"/>
  <c r="O43" i="4"/>
  <c r="O75" i="4"/>
  <c r="O121" i="4"/>
  <c r="O33" i="4"/>
  <c r="O150" i="4"/>
  <c r="O71" i="4"/>
  <c r="O54" i="4"/>
  <c r="O173" i="4"/>
  <c r="O151" i="4"/>
  <c r="O78" i="4"/>
  <c r="O96" i="4"/>
  <c r="O4" i="4"/>
  <c r="O66" i="4"/>
  <c r="O145" i="4"/>
  <c r="O82" i="4"/>
  <c r="O46" i="4"/>
  <c r="O170" i="4"/>
  <c r="O68" i="4"/>
  <c r="O124" i="4"/>
  <c r="O105" i="4"/>
  <c r="O27" i="4"/>
  <c r="O132" i="4"/>
  <c r="O112" i="4"/>
  <c r="O113" i="4"/>
  <c r="O73" i="4"/>
  <c r="O81" i="4"/>
  <c r="O129" i="4"/>
  <c r="O152" i="4"/>
  <c r="O114" i="4"/>
  <c r="O163" i="4"/>
  <c r="O22" i="4"/>
  <c r="O116" i="4"/>
  <c r="O126" i="4"/>
  <c r="O67" i="4"/>
  <c r="O91" i="4"/>
  <c r="O42" i="4"/>
  <c r="O127" i="4"/>
  <c r="O74" i="4"/>
  <c r="O44" i="4"/>
  <c r="O130" i="4"/>
  <c r="O64" i="4"/>
  <c r="O14" i="4"/>
  <c r="O164" i="4"/>
  <c r="O86" i="4"/>
  <c r="O29" i="4"/>
  <c r="O107" i="4"/>
  <c r="O12" i="4"/>
  <c r="O141" i="4"/>
  <c r="O36" i="4"/>
  <c r="O158" i="4"/>
  <c r="O153" i="4"/>
  <c r="O146" i="4"/>
  <c r="O28" i="4"/>
  <c r="O159" i="4"/>
  <c r="O19" i="4"/>
  <c r="O79" i="4"/>
  <c r="O60" i="4"/>
  <c r="O108" i="4"/>
  <c r="O37" i="4"/>
  <c r="O101" i="4"/>
  <c r="O89" i="4"/>
  <c r="O131" i="4"/>
  <c r="O172" i="4"/>
  <c r="O70" i="4"/>
  <c r="O166" i="4"/>
  <c r="O11" i="4"/>
  <c r="O63" i="4"/>
  <c r="O149" i="4"/>
  <c r="O52" i="4"/>
  <c r="O92" i="4"/>
  <c r="O156" i="4"/>
  <c r="O55" i="4"/>
  <c r="O100" i="4"/>
  <c r="O160" i="4"/>
  <c r="O69" i="4"/>
  <c r="O83" i="4"/>
  <c r="O34" i="4"/>
  <c r="O24" i="4"/>
  <c r="O53" i="4"/>
  <c r="O161" i="4"/>
  <c r="O32" i="4"/>
  <c r="O57" i="4"/>
  <c r="O56" i="4"/>
  <c r="O45" i="4"/>
  <c r="O20" i="4"/>
  <c r="O155" i="4"/>
  <c r="O23" i="4"/>
  <c r="O174" i="4"/>
  <c r="O148" i="4"/>
  <c r="O65" i="4"/>
  <c r="O167" i="4"/>
  <c r="O49" i="4"/>
  <c r="O5" i="4"/>
  <c r="O59" i="4"/>
  <c r="O18" i="4"/>
  <c r="O6" i="4"/>
  <c r="O76" i="4"/>
  <c r="O177" i="4" l="1"/>
  <c r="AA178" i="4"/>
  <c r="AG3" i="4"/>
  <c r="AD177" i="4"/>
  <c r="AD178" i="4" s="1"/>
  <c r="H17" i="1" s="1"/>
  <c r="H13" i="1"/>
  <c r="T178" i="4"/>
  <c r="H14" i="1" s="1"/>
  <c r="AF3" i="4"/>
  <c r="AE177" i="4"/>
  <c r="AH3" i="4" l="1"/>
  <c r="AG177" i="4"/>
</calcChain>
</file>

<file path=xl/comments1.xml><?xml version="1.0" encoding="utf-8"?>
<comments xmlns="http://schemas.openxmlformats.org/spreadsheetml/2006/main">
  <authors>
    <author>Justin Silverstein</author>
  </authors>
  <commentList>
    <comment ref="BU3" authorId="0" shapeId="0">
      <text>
        <r>
          <rPr>
            <b/>
            <sz val="9"/>
            <color indexed="81"/>
            <rFont val="Tahoma"/>
            <family val="2"/>
          </rPr>
          <t>Justin Silverstein:</t>
        </r>
        <r>
          <rPr>
            <sz val="9"/>
            <color indexed="81"/>
            <rFont val="Tahoma"/>
            <family val="2"/>
          </rPr>
          <t xml:space="preserve">
using 10% of ADA on calculations
</t>
        </r>
      </text>
    </comment>
    <comment ref="BK170" authorId="0" shapeId="0">
      <text>
        <r>
          <rPr>
            <b/>
            <sz val="9"/>
            <color indexed="81"/>
            <rFont val="Tahoma"/>
            <family val="2"/>
          </rPr>
          <t>Justin Silverstein:</t>
        </r>
        <r>
          <rPr>
            <sz val="9"/>
            <color indexed="81"/>
            <rFont val="Tahoma"/>
            <family val="2"/>
          </rPr>
          <t xml:space="preserve">
Assuming even split of 6 kids from SpEd data for these two charters
</t>
        </r>
      </text>
    </comment>
    <comment ref="BK171" authorId="0" shapeId="0">
      <text>
        <r>
          <rPr>
            <b/>
            <sz val="9"/>
            <color rgb="FF000000"/>
            <rFont val="Tahoma"/>
            <family val="2"/>
          </rPr>
          <t>Justin Silverstein:</t>
        </r>
        <r>
          <rPr>
            <sz val="9"/>
            <color rgb="FF000000"/>
            <rFont val="Tahoma"/>
            <family val="2"/>
          </rPr>
          <t xml:space="preserve">
</t>
        </r>
        <r>
          <rPr>
            <sz val="9"/>
            <color rgb="FF000000"/>
            <rFont val="Tahoma"/>
            <family val="2"/>
          </rPr>
          <t xml:space="preserve">Assuming even split of 6 kids from these two charters
</t>
        </r>
      </text>
    </comment>
  </commentList>
</comments>
</file>

<file path=xl/comments2.xml><?xml version="1.0" encoding="utf-8"?>
<comments xmlns="http://schemas.openxmlformats.org/spreadsheetml/2006/main">
  <authors>
    <author>Tim HIll</author>
  </authors>
  <commentList>
    <comment ref="D168" authorId="0" shapeId="0">
      <text>
        <r>
          <rPr>
            <b/>
            <sz val="9"/>
            <color rgb="FF000000"/>
            <rFont val="Tahoma"/>
            <family val="2"/>
          </rPr>
          <t>Tim Hill:</t>
        </r>
        <r>
          <rPr>
            <sz val="9"/>
            <color rgb="FF000000"/>
            <rFont val="Tahoma"/>
            <family val="2"/>
          </rPr>
          <t xml:space="preserve">
</t>
        </r>
        <r>
          <rPr>
            <sz val="9"/>
            <color rgb="FF000000"/>
            <rFont val="Tahoma"/>
            <family val="2"/>
          </rPr>
          <t>Average Charter School</t>
        </r>
      </text>
    </comment>
    <comment ref="D171" authorId="0" shapeId="0">
      <text>
        <r>
          <rPr>
            <b/>
            <sz val="9"/>
            <color indexed="81"/>
            <rFont val="Tahoma"/>
            <family val="2"/>
          </rPr>
          <t>Tim Hill:</t>
        </r>
        <r>
          <rPr>
            <sz val="9"/>
            <color indexed="81"/>
            <rFont val="Tahoma"/>
            <family val="2"/>
          </rPr>
          <t xml:space="preserve">
Average Charter School</t>
        </r>
      </text>
    </comment>
  </commentList>
</comments>
</file>

<file path=xl/sharedStrings.xml><?xml version="1.0" encoding="utf-8"?>
<sst xmlns="http://schemas.openxmlformats.org/spreadsheetml/2006/main" count="1700" uniqueCount="855">
  <si>
    <t>At-Risk</t>
  </si>
  <si>
    <t>At-Risk Count</t>
  </si>
  <si>
    <t>English Language Learners</t>
  </si>
  <si>
    <t>Special Education</t>
  </si>
  <si>
    <t>Grade Weights</t>
  </si>
  <si>
    <t>ELL</t>
  </si>
  <si>
    <t>Gifted</t>
  </si>
  <si>
    <t>K-3</t>
  </si>
  <si>
    <t>base count</t>
  </si>
  <si>
    <t>9-12</t>
  </si>
  <si>
    <t>FRL</t>
  </si>
  <si>
    <t>Total Weighted Pupils</t>
  </si>
  <si>
    <t>Boise Independent School District # 001</t>
  </si>
  <si>
    <t>West Ada Joint School District # 002</t>
  </si>
  <si>
    <t>Kuna Joint School District # 003</t>
  </si>
  <si>
    <t>Meadows Valley School District # 011</t>
  </si>
  <si>
    <t>Council School District # 013</t>
  </si>
  <si>
    <t>Marsh Valley Joint School District # 021</t>
  </si>
  <si>
    <t>Pocatello School District # 025</t>
  </si>
  <si>
    <t>Bear Lake County School District # 033</t>
  </si>
  <si>
    <t>St. Maries Joint School District # 041</t>
  </si>
  <si>
    <t>Plummer / Worley Joint School District # 044</t>
  </si>
  <si>
    <t>Snake River School District # 052</t>
  </si>
  <si>
    <t>Blackfoot School District # 055</t>
  </si>
  <si>
    <t>Aberdeen School District # 058</t>
  </si>
  <si>
    <t>Firth School District # 059</t>
  </si>
  <si>
    <t>Shelley Joint School District # 060</t>
  </si>
  <si>
    <t>Blaine County School District # 061</t>
  </si>
  <si>
    <t>Garden Valley School District # 071</t>
  </si>
  <si>
    <t>Basin School District # 072</t>
  </si>
  <si>
    <t>Horseshoe Bend School District # 073</t>
  </si>
  <si>
    <t>West Bonner County School District # 083</t>
  </si>
  <si>
    <t>Lake Pend Oreille School District # 084</t>
  </si>
  <si>
    <t>Idaho Falls School District # 091</t>
  </si>
  <si>
    <t>Swan Valley Elementary School District # 092</t>
  </si>
  <si>
    <t>Bonneville Joint School District # 093</t>
  </si>
  <si>
    <t>Boundary County School District # 101</t>
  </si>
  <si>
    <t>Butte County Joint School District # 111</t>
  </si>
  <si>
    <t>Camas County School District # 121</t>
  </si>
  <si>
    <t>Nampa School District # 131</t>
  </si>
  <si>
    <t>Caldwell School District # 132</t>
  </si>
  <si>
    <t>Wilder School District # 133</t>
  </si>
  <si>
    <t>Middleton School District # 134</t>
  </si>
  <si>
    <t>Notus School District # 135</t>
  </si>
  <si>
    <t>Melba Joint School District # 136</t>
  </si>
  <si>
    <t>Parma School District # 137</t>
  </si>
  <si>
    <t>Vallivue School District # 139</t>
  </si>
  <si>
    <t>Grace Joint School District # 148</t>
  </si>
  <si>
    <t>North Gem School District # 149</t>
  </si>
  <si>
    <t>Soda Springs Joint School District # 150</t>
  </si>
  <si>
    <t>Cassia County Joint School District # 151</t>
  </si>
  <si>
    <t>Clark County Joint School District # 161</t>
  </si>
  <si>
    <t>Orofino Joint School District # 171</t>
  </si>
  <si>
    <t>Challis Joint School District # 181</t>
  </si>
  <si>
    <t>Mackay Joint School District # 182</t>
  </si>
  <si>
    <t>Prairie Elementary School District # 191</t>
  </si>
  <si>
    <t>Glenns Ferry Joint School District # 192</t>
  </si>
  <si>
    <t>Mountain Home School District # 193</t>
  </si>
  <si>
    <t>Preston Joint School District # 201</t>
  </si>
  <si>
    <t>West Side Joint School District # 202</t>
  </si>
  <si>
    <t>Fremont County Joint School District # 215</t>
  </si>
  <si>
    <t>Emmett Independent School District # 221</t>
  </si>
  <si>
    <t>Gooding Joint School District # 231</t>
  </si>
  <si>
    <t>Wendell School District # 232</t>
  </si>
  <si>
    <t>Hagerman Joint School District # 233</t>
  </si>
  <si>
    <t>Bliss Joint School District # 234</t>
  </si>
  <si>
    <t>Cottonwood Joint School District # 242</t>
  </si>
  <si>
    <t>Salmon River Joint School District # 243</t>
  </si>
  <si>
    <t>Mountain View School District # 244</t>
  </si>
  <si>
    <t>Jefferson County Joint School District # 251</t>
  </si>
  <si>
    <t>Ririe Joint School District # 252</t>
  </si>
  <si>
    <t>West Jefferson School District # 253</t>
  </si>
  <si>
    <t>Jerome Joint School District # 261</t>
  </si>
  <si>
    <t>Valley School District # 262</t>
  </si>
  <si>
    <t>Coeur d' Alene School District # 271</t>
  </si>
  <si>
    <t>Lakeland School District # 272</t>
  </si>
  <si>
    <t>Post Falls School District # 273</t>
  </si>
  <si>
    <t>Kootenai Joint School District # 274</t>
  </si>
  <si>
    <t>Moscow School District # 281</t>
  </si>
  <si>
    <t>Genesee Joint School District # 282</t>
  </si>
  <si>
    <t>Kendrick Joint School District # 283</t>
  </si>
  <si>
    <t>Potlatch School District # 285</t>
  </si>
  <si>
    <t>Troy  School District # 287</t>
  </si>
  <si>
    <t>Whitepine Joint School District # 288</t>
  </si>
  <si>
    <t>Salmon School District # 291</t>
  </si>
  <si>
    <t>South Lemhi School District # 292</t>
  </si>
  <si>
    <t>Nezperce Joint School District # 302</t>
  </si>
  <si>
    <t>Kamiah Joint School District # 304</t>
  </si>
  <si>
    <t>Highland Joint School District # 305</t>
  </si>
  <si>
    <t>Shoshone Joint School District # 312</t>
  </si>
  <si>
    <t>Dietrich School District # 314</t>
  </si>
  <si>
    <t>Richfield School District # 316</t>
  </si>
  <si>
    <t>Madison School District # 321</t>
  </si>
  <si>
    <t>Sugar-Salem Joint School District # 322</t>
  </si>
  <si>
    <t>Minidoka County Joint School District # 331</t>
  </si>
  <si>
    <t>Lewiston Independent School District # 340</t>
  </si>
  <si>
    <t>Lapwai School District # 341</t>
  </si>
  <si>
    <t>Culdesac Joint School District # 342</t>
  </si>
  <si>
    <t>Oneida County School District # 351</t>
  </si>
  <si>
    <t>Marsing Joint School District # 363</t>
  </si>
  <si>
    <t>Pleasant Valley Elem. School District # 364</t>
  </si>
  <si>
    <t>Bruneau-Grand View Jt. School District # 365</t>
  </si>
  <si>
    <t>Homedale Joint School District # 370</t>
  </si>
  <si>
    <t>Payette Joint School District # 371</t>
  </si>
  <si>
    <t>New Plymouth School District # 372</t>
  </si>
  <si>
    <t>Fruitland School District # 373</t>
  </si>
  <si>
    <t>American Falls Joint School District # 381</t>
  </si>
  <si>
    <t>Rockland School District # 382</t>
  </si>
  <si>
    <t>Arbon Elementary School District # 383</t>
  </si>
  <si>
    <t>Kellogg Joint School District # 391</t>
  </si>
  <si>
    <t>Mullan School District # 392</t>
  </si>
  <si>
    <t>Wallace School District # 393</t>
  </si>
  <si>
    <t>Avery School District # 394</t>
  </si>
  <si>
    <t>Teton County School District # 401</t>
  </si>
  <si>
    <t>Twin Falls School District # 411</t>
  </si>
  <si>
    <t>Buhl Joint School District # 412</t>
  </si>
  <si>
    <t>Filer School District # 413</t>
  </si>
  <si>
    <t>Kimberly School District # 414</t>
  </si>
  <si>
    <t>Hansen School District # 415</t>
  </si>
  <si>
    <t>Three Creek Joint Elem. School District # 416</t>
  </si>
  <si>
    <t>Castleford Joint School District # 417</t>
  </si>
  <si>
    <t>Murtaugh Joint School District # 418</t>
  </si>
  <si>
    <t>McCall-Donnelly Joint School District # 421</t>
  </si>
  <si>
    <t>Cascade School District # 422</t>
  </si>
  <si>
    <t>Weiser School District # 431</t>
  </si>
  <si>
    <t>Cambridge Joint School District # 432</t>
  </si>
  <si>
    <t>Midvale School District # 433</t>
  </si>
  <si>
    <t>Victory Charter School # 451</t>
  </si>
  <si>
    <t>Idaho Virtual Academy # 452</t>
  </si>
  <si>
    <t>McKenna Charter School # 453</t>
  </si>
  <si>
    <t>Rolling Hills Charter School # 454</t>
  </si>
  <si>
    <t>Compass Public Charter School # 455</t>
  </si>
  <si>
    <t>Falcon Ridge Public Charter School # 456</t>
  </si>
  <si>
    <t>INSPIRE Connections Academy # 457</t>
  </si>
  <si>
    <t>Liberty Charter School # 458</t>
  </si>
  <si>
    <t>Connor Academy # 460</t>
  </si>
  <si>
    <t>Taylor's Crossing Public Charter School # 461</t>
  </si>
  <si>
    <t>Xavier Charter School # 462</t>
  </si>
  <si>
    <t>Vision Charter School # 463</t>
  </si>
  <si>
    <t>White Pine Charter School # 464</t>
  </si>
  <si>
    <t>North Valley Academy # 465</t>
  </si>
  <si>
    <t>iSucceed Virtual High School # 466</t>
  </si>
  <si>
    <t>Idaho Science and Technology Charter School #468</t>
  </si>
  <si>
    <t>Idaho Connects Online (ICON) #469</t>
  </si>
  <si>
    <t>Kootenai Bridge Academy #470</t>
  </si>
  <si>
    <t>Palouse Prairie Charter School #472</t>
  </si>
  <si>
    <t>The Village Charter School #473</t>
  </si>
  <si>
    <t>Monticello Montessori Charter School #474</t>
  </si>
  <si>
    <t>Sage International School of Boise #475</t>
  </si>
  <si>
    <t>Another Choice Virtual Charter School #476</t>
  </si>
  <si>
    <t>Blackfoot Charter Community Learning Center #477</t>
  </si>
  <si>
    <t>Legacy Charter School #478</t>
  </si>
  <si>
    <t>Heritage Academy #479</t>
  </si>
  <si>
    <t>STEM Charter Academy #480</t>
  </si>
  <si>
    <t>Heritage Community Charter School #481</t>
  </si>
  <si>
    <t>American Heritage Charter School #482</t>
  </si>
  <si>
    <t>Chief Tahgee Elementary Academy #483</t>
  </si>
  <si>
    <t>Bingham Academy #485</t>
  </si>
  <si>
    <t>Upper Carmen Charter School #486</t>
  </si>
  <si>
    <t>Forrest M. Bird Charter School #487</t>
  </si>
  <si>
    <t>Syringa Mountain School #488</t>
  </si>
  <si>
    <t>Idaho Technical Career Academy #489</t>
  </si>
  <si>
    <t>Idaho Distance Education Academy #490</t>
  </si>
  <si>
    <t>Coeur d' Alene Charter Academy #491</t>
  </si>
  <si>
    <t>ANSER Charter School #492</t>
  </si>
  <si>
    <t>North Star Charter School #493</t>
  </si>
  <si>
    <t>Pocatello Community Charter School #494</t>
  </si>
  <si>
    <t>Alturas International Academy #495</t>
  </si>
  <si>
    <t>Gem Prep: Pocatello #496</t>
  </si>
  <si>
    <t>Pathways in Education - Nampa #497</t>
  </si>
  <si>
    <t>COSSA Academy #555</t>
  </si>
  <si>
    <t>Thomas Jefferson Charter School #559</t>
  </si>
  <si>
    <t>SEI Tec #751</t>
  </si>
  <si>
    <t>Meridian Technical Charter High School #768</t>
  </si>
  <si>
    <t>Meridian Medical Arts Charter High School #785</t>
  </si>
  <si>
    <t>ARTEC Charter School #790</t>
  </si>
  <si>
    <t>Payette River Technical Academy #794</t>
  </si>
  <si>
    <t>Idaho Arts Charter School #795</t>
  </si>
  <si>
    <t>Gem Prep: Nampa #796</t>
  </si>
  <si>
    <t>Moscow Charter School #813</t>
  </si>
  <si>
    <t>District #1</t>
  </si>
  <si>
    <t>District # 2</t>
  </si>
  <si>
    <t>District Name 1</t>
  </si>
  <si>
    <t>District Name Two</t>
  </si>
  <si>
    <t>Average Daily Attendance Data</t>
  </si>
  <si>
    <t>Regular Grade 1</t>
  </si>
  <si>
    <t>Regular Grade 2</t>
  </si>
  <si>
    <t>Regular Grade 3</t>
  </si>
  <si>
    <t>Regular Grade 4</t>
  </si>
  <si>
    <t>Regular Grade 5</t>
  </si>
  <si>
    <t>Regular Grade 6</t>
  </si>
  <si>
    <t>Regular Grade 7</t>
  </si>
  <si>
    <t>Regular Grade 8</t>
  </si>
  <si>
    <t>Regular Grade 9</t>
  </si>
  <si>
    <t>Regular Grade 10</t>
  </si>
  <si>
    <t>Regular Grade 11</t>
  </si>
  <si>
    <t>Regular Grade 12</t>
  </si>
  <si>
    <t>Alt. High School 6</t>
  </si>
  <si>
    <t>Alt. High School 7</t>
  </si>
  <si>
    <t>Alt. High School 8</t>
  </si>
  <si>
    <t>Alt. High School 9</t>
  </si>
  <si>
    <t>Alt. High School 10</t>
  </si>
  <si>
    <t>Alt. High School 11</t>
  </si>
  <si>
    <t>Alt. High School 12</t>
  </si>
  <si>
    <t>Juvenile Detention 4</t>
  </si>
  <si>
    <t>Juvenile Detention 5</t>
  </si>
  <si>
    <t>Juvenile Detention 6</t>
  </si>
  <si>
    <t>Juvenile Detention 7</t>
  </si>
  <si>
    <t>Juvenile Detention 8</t>
  </si>
  <si>
    <t>Juvenile Detention 9</t>
  </si>
  <si>
    <t>Juvenile Detention 10</t>
  </si>
  <si>
    <t>Juvenile Detention 11</t>
  </si>
  <si>
    <t>Juvenile Detention 12</t>
  </si>
  <si>
    <t>Juvenile Summer 4</t>
  </si>
  <si>
    <t>Juvenile Summer 5</t>
  </si>
  <si>
    <t>Juvenile Summer 6</t>
  </si>
  <si>
    <t>Juvenile Summer 7</t>
  </si>
  <si>
    <t>Juvenile Summer 8</t>
  </si>
  <si>
    <t>Juvenile Summer 9</t>
  </si>
  <si>
    <t>Juvenile Summer 10</t>
  </si>
  <si>
    <t>Juvenile Summer 11</t>
  </si>
  <si>
    <t>Juvenile Summer 12</t>
  </si>
  <si>
    <t>Alt. High Summer 6</t>
  </si>
  <si>
    <t>Alt. High Summer 7</t>
  </si>
  <si>
    <t>Alt. High Summer 8</t>
  </si>
  <si>
    <t>Alt. High Summer 9</t>
  </si>
  <si>
    <t>Alt. High Summer 10</t>
  </si>
  <si>
    <t>Alt. High Summer 11</t>
  </si>
  <si>
    <t>Alt. High Summer 12</t>
  </si>
  <si>
    <t>Count from Database</t>
  </si>
  <si>
    <t>Charter Data Changes</t>
  </si>
  <si>
    <t>Data to Use</t>
  </si>
  <si>
    <t>Data To use</t>
  </si>
  <si>
    <t>ADA for Comp</t>
  </si>
  <si>
    <t>Count for Comp</t>
  </si>
  <si>
    <t>Statewide Total</t>
  </si>
  <si>
    <t>Mild</t>
  </si>
  <si>
    <t>Moderate</t>
  </si>
  <si>
    <t>Severe</t>
  </si>
  <si>
    <t>Count from Data</t>
  </si>
  <si>
    <t>**</t>
  </si>
  <si>
    <t>Current Alternative</t>
  </si>
  <si>
    <t>Size Adjustment</t>
  </si>
  <si>
    <t>Gifted Calculation</t>
  </si>
  <si>
    <t>Gifted Count</t>
  </si>
  <si>
    <t>Pupil Counts</t>
  </si>
  <si>
    <t>Weighted Counts</t>
  </si>
  <si>
    <t>Base Funding</t>
  </si>
  <si>
    <t>K- 3</t>
  </si>
  <si>
    <t>Gifted Funding</t>
  </si>
  <si>
    <t>Total Funding</t>
  </si>
  <si>
    <t>Total Included In Formula</t>
  </si>
  <si>
    <t>Total not Included</t>
  </si>
  <si>
    <t>Input Weight</t>
  </si>
  <si>
    <t>Input K-3 Weight</t>
  </si>
  <si>
    <t>Input 9-12 Weight</t>
  </si>
  <si>
    <t>Gifted at 10% of ADA</t>
  </si>
  <si>
    <t>Total Current Funding</t>
  </si>
  <si>
    <t>Total Included New Funding</t>
  </si>
  <si>
    <t>K-6 Students</t>
  </si>
  <si>
    <t>7-12 Students</t>
  </si>
  <si>
    <t>SDA_K6_Yes/No</t>
  </si>
  <si>
    <t>SDA_712_Yes/No</t>
  </si>
  <si>
    <t>SDA for both</t>
  </si>
  <si>
    <t>SDA K6</t>
  </si>
  <si>
    <t>SDA 7-12</t>
  </si>
  <si>
    <t>Max Weight</t>
  </si>
  <si>
    <t>Version 1</t>
  </si>
  <si>
    <t>Ver 1 SDA_K6</t>
  </si>
  <si>
    <t>Ver 1 SDA_712</t>
  </si>
  <si>
    <t>Version 2</t>
  </si>
  <si>
    <t>Break point</t>
  </si>
  <si>
    <t>Ver 2 SDA_K6</t>
  </si>
  <si>
    <t>Ver 2 SDA_712</t>
  </si>
  <si>
    <t>break point weight</t>
  </si>
  <si>
    <t>increment weight</t>
  </si>
  <si>
    <t>Max Weight at __ students</t>
  </si>
  <si>
    <t>Weighted K6 Students Ver 1</t>
  </si>
  <si>
    <t>Weighted 7-12 Students Ver 1</t>
  </si>
  <si>
    <t>Total Weighted Students Ver 1</t>
  </si>
  <si>
    <t>Weighted K6 Students Ver 2</t>
  </si>
  <si>
    <t>Weighted 7-12 Students Ver 2</t>
  </si>
  <si>
    <t>Total Weighted Students Ver 2</t>
  </si>
  <si>
    <t>Linear</t>
  </si>
  <si>
    <t>J-Curve</t>
  </si>
  <si>
    <t>Yes</t>
  </si>
  <si>
    <t>No</t>
  </si>
  <si>
    <t>Type of Adjustment</t>
  </si>
  <si>
    <t>Applied to Charters</t>
  </si>
  <si>
    <t>Total Weighted 1 No Charters</t>
  </si>
  <si>
    <t>Total Weighted 2 No Charters</t>
  </si>
  <si>
    <t>Charter Status</t>
  </si>
  <si>
    <t>Used in Model based on Front Page</t>
  </si>
  <si>
    <t>PreK</t>
  </si>
  <si>
    <t>Kindergarten</t>
  </si>
  <si>
    <t>First</t>
  </si>
  <si>
    <t>Second</t>
  </si>
  <si>
    <t>Third</t>
  </si>
  <si>
    <t>Fourth</t>
  </si>
  <si>
    <t>Fifth</t>
  </si>
  <si>
    <t>Sixth</t>
  </si>
  <si>
    <t>Seventh</t>
  </si>
  <si>
    <t>Eighth</t>
  </si>
  <si>
    <t>Ninth</t>
  </si>
  <si>
    <t>Tenth</t>
  </si>
  <si>
    <t>Eleventh</t>
  </si>
  <si>
    <t>Twelfth</t>
  </si>
  <si>
    <t>Enrollment</t>
  </si>
  <si>
    <t>Total Funded Enrollment Count</t>
  </si>
  <si>
    <t>K-3 Count</t>
  </si>
  <si>
    <t>9-12 Count</t>
  </si>
  <si>
    <t>K-6 Count for Size Adj</t>
  </si>
  <si>
    <t>7-12 Count for Size Adj.</t>
  </si>
  <si>
    <t>ADA Total</t>
  </si>
  <si>
    <t>K-6 for Size Adj</t>
  </si>
  <si>
    <t>7-12 for Size Adj</t>
  </si>
  <si>
    <t>Student Count</t>
  </si>
  <si>
    <t>Base Count</t>
  </si>
  <si>
    <t>Percentage Change</t>
  </si>
  <si>
    <t>Total New Funding Model</t>
  </si>
  <si>
    <t>Capped Gain</t>
  </si>
  <si>
    <t>Difference from Current Included WITH CAP</t>
  </si>
  <si>
    <t>Cost of Hold Harmless Without Cap</t>
  </si>
  <si>
    <t>Cost of Hold Harmless WITH CAP</t>
  </si>
  <si>
    <t>Total New Funding Model WITH CAP</t>
  </si>
  <si>
    <t>Total Funding with Cap</t>
  </si>
  <si>
    <t>Cap on Annual Funding Increase</t>
  </si>
  <si>
    <t>Include Funding Increase Cap</t>
  </si>
  <si>
    <t xml:space="preserve">Alternative </t>
  </si>
  <si>
    <t>Cap Vs. Un-Capped</t>
  </si>
  <si>
    <t>Kinder - Calculated at Half Day</t>
  </si>
  <si>
    <t>Adjusted ADA</t>
  </si>
  <si>
    <t>Adjusted by 5%</t>
  </si>
  <si>
    <t>Adjustment</t>
  </si>
  <si>
    <t>Difference</t>
  </si>
  <si>
    <t>New Formula Funding</t>
  </si>
  <si>
    <t>Estimated Expenditures*</t>
  </si>
  <si>
    <t>Teacher Salaries (41.1%)</t>
  </si>
  <si>
    <t>Teacher Benefits (14.6%)</t>
  </si>
  <si>
    <t>Other Staff Salaries (17.7%)</t>
  </si>
  <si>
    <t>Other Staff Benefits (7%)</t>
  </si>
  <si>
    <t>Other Educational Costs (19.6%)</t>
  </si>
  <si>
    <t>Line Items</t>
  </si>
  <si>
    <t>Transportation</t>
  </si>
  <si>
    <t>Exceptional Contracts</t>
  </si>
  <si>
    <t>Bond Levy Equalization</t>
  </si>
  <si>
    <t>Charter School Facilities</t>
  </si>
  <si>
    <t>Leadership Premiums</t>
  </si>
  <si>
    <t>National Board Certifications</t>
  </si>
  <si>
    <t>Safe &amp; Drug-Free Schools</t>
  </si>
  <si>
    <t>School Building Maintenance (Lottery)</t>
  </si>
  <si>
    <t>School Buildings Maintenance Match</t>
  </si>
  <si>
    <t>Technology (Classroom, Wireless, Instructional Management System)</t>
  </si>
  <si>
    <t>Line Item Total</t>
  </si>
  <si>
    <t>Difference (in Dollars)</t>
  </si>
  <si>
    <t>*Estimated expenditures based on data from U.S. Census</t>
  </si>
  <si>
    <t>Base</t>
  </si>
  <si>
    <t>Border Contracts</t>
  </si>
  <si>
    <t>Percentage Increase</t>
  </si>
  <si>
    <t>Enrollment Adjustment</t>
  </si>
  <si>
    <t>District #</t>
  </si>
  <si>
    <t>District Name</t>
  </si>
  <si>
    <t>School #</t>
  </si>
  <si>
    <t>School name</t>
  </si>
  <si>
    <t xml:space="preserve">Marsh Valley </t>
  </si>
  <si>
    <t>Downey Elementary School</t>
  </si>
  <si>
    <t>Inkom Elementary School</t>
  </si>
  <si>
    <t>Lava Elementary School</t>
  </si>
  <si>
    <t>Bear Lake</t>
  </si>
  <si>
    <t>A J Winters Elementary School</t>
  </si>
  <si>
    <t>Georgetown Elementary School</t>
  </si>
  <si>
    <t>St Maries</t>
  </si>
  <si>
    <t>Upriver Elementary School</t>
  </si>
  <si>
    <t>Blackfoot</t>
  </si>
  <si>
    <t>Fort Hall Elementary School</t>
  </si>
  <si>
    <t>Blaine County</t>
  </si>
  <si>
    <t>Carey Public School</t>
  </si>
  <si>
    <t>Ernest Hemingway Steam School</t>
  </si>
  <si>
    <t>Garden Valley</t>
  </si>
  <si>
    <t>Lowman Elementary School</t>
  </si>
  <si>
    <t>West Bonner</t>
  </si>
  <si>
    <t>Priest Lake Elementary School</t>
  </si>
  <si>
    <t>Lake Pend Oreille</t>
  </si>
  <si>
    <t>Clark Fork Jr/Sr High School</t>
  </si>
  <si>
    <t>Hope Elementary School</t>
  </si>
  <si>
    <t>Boundary County</t>
  </si>
  <si>
    <t>Mount Hall Elementary School</t>
  </si>
  <si>
    <t>Butte County</t>
  </si>
  <si>
    <t>Howe Elementary School</t>
  </si>
  <si>
    <t xml:space="preserve">Grace </t>
  </si>
  <si>
    <t>Thatcher Elementary School</t>
  </si>
  <si>
    <t>Cassia County</t>
  </si>
  <si>
    <t>Oakley Jr/Sr High School</t>
  </si>
  <si>
    <t>Raft River Jr/Sr High School</t>
  </si>
  <si>
    <t>Almo Elementary School</t>
  </si>
  <si>
    <t>Raft River Elementary School</t>
  </si>
  <si>
    <t>Oakley Elementary School</t>
  </si>
  <si>
    <t>Albion Elementary School</t>
  </si>
  <si>
    <t xml:space="preserve">Orofino </t>
  </si>
  <si>
    <t>Timberline High School</t>
  </si>
  <si>
    <t>Cavendish-Teakean Elementary School</t>
  </si>
  <si>
    <t>Peck Elementary School</t>
  </si>
  <si>
    <t>Timberline Elementary School</t>
  </si>
  <si>
    <t>Challis</t>
  </si>
  <si>
    <t>Stanley Elem/Jr High School</t>
  </si>
  <si>
    <t>Patterson Elementary School (not open last year)</t>
  </si>
  <si>
    <t>Mountain Home</t>
  </si>
  <si>
    <t>Pine Elem/Jr High School</t>
  </si>
  <si>
    <t>Fremont County</t>
  </si>
  <si>
    <t>North Fremont Jr/Sr High School</t>
  </si>
  <si>
    <t>Ashton Elementary School</t>
  </si>
  <si>
    <t>Emmett</t>
  </si>
  <si>
    <t>Sweet Montour Elementary School</t>
  </si>
  <si>
    <t>Ola Elementary School</t>
  </si>
  <si>
    <t>Mountain View</t>
  </si>
  <si>
    <t xml:space="preserve">Clearwater Valley Jr/Sr </t>
  </si>
  <si>
    <t>Clearwater Valley Elementary School</t>
  </si>
  <si>
    <t>Elk City School</t>
  </si>
  <si>
    <t>West Jefferson</t>
  </si>
  <si>
    <t>Hamer Elementary School</t>
  </si>
  <si>
    <t xml:space="preserve">Lakeland </t>
  </si>
  <si>
    <t>Athol Elementary School</t>
  </si>
  <si>
    <t>Whitepine</t>
  </si>
  <si>
    <t>Bovill Elementary School</t>
  </si>
  <si>
    <t>South Lemhi</t>
  </si>
  <si>
    <t>Tendoy Elementary School</t>
  </si>
  <si>
    <t xml:space="preserve">Oneida </t>
  </si>
  <si>
    <t>Stone Elementary School</t>
  </si>
  <si>
    <t>Bruneau-Grand View</t>
  </si>
  <si>
    <t>Bruneau Elementary School</t>
  </si>
  <si>
    <t>Kellogg</t>
  </si>
  <si>
    <t>Canyon Elementary School</t>
  </si>
  <si>
    <t>Filer District</t>
  </si>
  <si>
    <t>Hollister Elementary School</t>
  </si>
  <si>
    <t>McCall-Donnelly</t>
  </si>
  <si>
    <t>Donnelly Elementary School</t>
  </si>
  <si>
    <t>Apply or Don't Apply</t>
  </si>
  <si>
    <t>Apply</t>
  </si>
  <si>
    <t>Don't Apply</t>
  </si>
  <si>
    <t>Small District Size Adjustment</t>
  </si>
  <si>
    <t>Large District Size Adjustment</t>
  </si>
  <si>
    <t>Total</t>
  </si>
  <si>
    <t>Slope</t>
  </si>
  <si>
    <t>b</t>
  </si>
  <si>
    <t>Large District Adjustment</t>
  </si>
  <si>
    <t xml:space="preserve">Gifted </t>
  </si>
  <si>
    <t>Wealth</t>
  </si>
  <si>
    <t>Boise Independent</t>
  </si>
  <si>
    <t>Meridian Joint</t>
  </si>
  <si>
    <t>Kuna Joint</t>
  </si>
  <si>
    <t>Meadows Valley</t>
  </si>
  <si>
    <t>Council</t>
  </si>
  <si>
    <t>Marsh Valley Joint</t>
  </si>
  <si>
    <t>Pocatello</t>
  </si>
  <si>
    <t>Bear Lake County</t>
  </si>
  <si>
    <t>St. Maries Joint</t>
  </si>
  <si>
    <t>Plummer / Worley Joint</t>
  </si>
  <si>
    <t>Snake River</t>
  </si>
  <si>
    <t>Aberdeen</t>
  </si>
  <si>
    <t>Firth</t>
  </si>
  <si>
    <t>Shelley Joint</t>
  </si>
  <si>
    <t>Basin</t>
  </si>
  <si>
    <t>Horseshoe Bend</t>
  </si>
  <si>
    <t>West Bonner County</t>
  </si>
  <si>
    <t>Idaho Falls</t>
  </si>
  <si>
    <t>Swan Valley Elementary</t>
  </si>
  <si>
    <t>Bonneville Joint</t>
  </si>
  <si>
    <t>Camas County</t>
  </si>
  <si>
    <t>Nampa</t>
  </si>
  <si>
    <t>Caldwell</t>
  </si>
  <si>
    <t>Wilder</t>
  </si>
  <si>
    <t>Middleton</t>
  </si>
  <si>
    <t>Notus</t>
  </si>
  <si>
    <t>Melba Joint</t>
  </si>
  <si>
    <t>Parma</t>
  </si>
  <si>
    <t>Vallivue</t>
  </si>
  <si>
    <t>Grace Joint</t>
  </si>
  <si>
    <t>North Gem</t>
  </si>
  <si>
    <t>Soda Springs Joint</t>
  </si>
  <si>
    <t>Cassia County Joint</t>
  </si>
  <si>
    <t>Clark County Joint</t>
  </si>
  <si>
    <t>Orofino Joint</t>
  </si>
  <si>
    <t>Challis Joint</t>
  </si>
  <si>
    <t>Mackay Joint</t>
  </si>
  <si>
    <t>Prairie Elementary</t>
  </si>
  <si>
    <t>Glenns Ferry Joint</t>
  </si>
  <si>
    <t>Preston Joint</t>
  </si>
  <si>
    <t>West Side Joint</t>
  </si>
  <si>
    <t>Fremont County Joint</t>
  </si>
  <si>
    <t>Emmett Independent</t>
  </si>
  <si>
    <t>Gooding Joint</t>
  </si>
  <si>
    <t>Wendell</t>
  </si>
  <si>
    <t>Hagerman Joint</t>
  </si>
  <si>
    <t>Bliss Joint</t>
  </si>
  <si>
    <t>Cottonwood Joint</t>
  </si>
  <si>
    <t>Salmon River</t>
  </si>
  <si>
    <t>Jefferson County Joint</t>
  </si>
  <si>
    <t>Ririe Joint</t>
  </si>
  <si>
    <t>Jerome Joint</t>
  </si>
  <si>
    <t>Valley</t>
  </si>
  <si>
    <t>Coeur d' Alene</t>
  </si>
  <si>
    <t>Lakeland</t>
  </si>
  <si>
    <t>Post Falls</t>
  </si>
  <si>
    <t>Kootenai Joint</t>
  </si>
  <si>
    <t>Moscow</t>
  </si>
  <si>
    <t>Genesee Joint</t>
  </si>
  <si>
    <t>Kendrick Joint</t>
  </si>
  <si>
    <t>Potlatch</t>
  </si>
  <si>
    <t>Troy</t>
  </si>
  <si>
    <t>Salmon</t>
  </si>
  <si>
    <t>Nezperce Joint</t>
  </si>
  <si>
    <t>Kamiah Joint</t>
  </si>
  <si>
    <t>Highland Joint</t>
  </si>
  <si>
    <t>Shoshone Joint</t>
  </si>
  <si>
    <t>Dietrich</t>
  </si>
  <si>
    <t>Richfield</t>
  </si>
  <si>
    <t>Madison</t>
  </si>
  <si>
    <t>Sugar-Salem Joint</t>
  </si>
  <si>
    <t>Minidoka County Joint</t>
  </si>
  <si>
    <t>Lewiston Independent</t>
  </si>
  <si>
    <t>Lapwai</t>
  </si>
  <si>
    <t>Culdesac Joint</t>
  </si>
  <si>
    <t>Oneida County</t>
  </si>
  <si>
    <t>Marsing Joint</t>
  </si>
  <si>
    <t>Pleasant Valley Elementary</t>
  </si>
  <si>
    <t>Bruneau-Grand View Joint</t>
  </si>
  <si>
    <t>Homedale Joint</t>
  </si>
  <si>
    <t>Payette Joint</t>
  </si>
  <si>
    <t>New Plymouth</t>
  </si>
  <si>
    <t>Fruitland</t>
  </si>
  <si>
    <t>American Falls Joint</t>
  </si>
  <si>
    <t>Rockland</t>
  </si>
  <si>
    <t>Arbon Elementary</t>
  </si>
  <si>
    <t>Mullan</t>
  </si>
  <si>
    <t>Wallace</t>
  </si>
  <si>
    <t>Avery</t>
  </si>
  <si>
    <t>Teton County</t>
  </si>
  <si>
    <t>Twin Falls</t>
  </si>
  <si>
    <t>Buhl Joint</t>
  </si>
  <si>
    <t>Filer</t>
  </si>
  <si>
    <t>Kimberly</t>
  </si>
  <si>
    <t>Hansen</t>
  </si>
  <si>
    <t>Three Creek Joint Elementary</t>
  </si>
  <si>
    <t>Castleford Joint</t>
  </si>
  <si>
    <t>Murtaugh Joint</t>
  </si>
  <si>
    <t>McCall-Donnelly Joint</t>
  </si>
  <si>
    <t>Cascade</t>
  </si>
  <si>
    <t>Weiser</t>
  </si>
  <si>
    <t>Cambridge Joint</t>
  </si>
  <si>
    <t>Midvale</t>
  </si>
  <si>
    <t>TOTAL / STATEWIDE</t>
  </si>
  <si>
    <t>Include Wealth Adjustment</t>
  </si>
  <si>
    <t>Maximum Wealth Adjustment</t>
  </si>
  <si>
    <t>Budgetary Issues</t>
  </si>
  <si>
    <t>Gifted &amp; Talented**</t>
  </si>
  <si>
    <t>Notes:</t>
  </si>
  <si>
    <t xml:space="preserve">    *Adjusted ADA is 105% of actual ADA</t>
  </si>
  <si>
    <t>Funding Counts and Student Weights</t>
  </si>
  <si>
    <t xml:space="preserve">    **G&amp;T funding assumes that 10% of students in each district will qualify.</t>
  </si>
  <si>
    <t>District &amp; School Adjustments</t>
  </si>
  <si>
    <t>Computed Base Amount Per Student</t>
  </si>
  <si>
    <t>Current Formula 2017-18</t>
  </si>
  <si>
    <t>New Formula With Estimated 2018-19 Funding</t>
  </si>
  <si>
    <r>
      <t xml:space="preserve">District Wealth Adjustment </t>
    </r>
    <r>
      <rPr>
        <sz val="14"/>
        <color theme="1"/>
        <rFont val="Calibri"/>
        <family val="2"/>
        <scheme val="minor"/>
      </rPr>
      <t>(Based on the Property Wealth per Enrollment )</t>
    </r>
  </si>
  <si>
    <t>District Number</t>
  </si>
  <si>
    <t>min</t>
  </si>
  <si>
    <t>max</t>
  </si>
  <si>
    <t>stdev</t>
  </si>
  <si>
    <t>Alternative Student Count</t>
  </si>
  <si>
    <t>Additional Funding</t>
  </si>
  <si>
    <t>Enrollment K-6</t>
  </si>
  <si>
    <t>Enrollment 7-12</t>
  </si>
  <si>
    <t>Economically Disadvantaged</t>
  </si>
  <si>
    <t>charter school apply</t>
  </si>
  <si>
    <t>front page</t>
  </si>
  <si>
    <t>+</t>
  </si>
  <si>
    <t>=1-AA10+(AA11-(E11*AB10))</t>
  </si>
  <si>
    <t>equal 1 mnus break point weight of .2625 +</t>
  </si>
  <si>
    <t>-</t>
  </si>
  <si>
    <t>if k-6 enrollment is between 166 and 330, then calculate 1.2625 plus the sum of .7875 minus k-6 enrollment times increment weight</t>
  </si>
  <si>
    <t>Adjustment 2 Additional FTE
J-CURVE</t>
  </si>
  <si>
    <t>Adjustment 1 Additional FTE
LINEAR</t>
  </si>
  <si>
    <t>Adjustment 1
LINEAR</t>
  </si>
  <si>
    <t>Adjustment 2
J-CURVE</t>
  </si>
  <si>
    <t>Selected Adjustment
Linear or J-Curve</t>
  </si>
  <si>
    <t>Based on Adj. On or Off
Remote School Apply or Not</t>
  </si>
  <si>
    <t>Mike in Model - column 3</t>
  </si>
  <si>
    <t>LSO Variation - fixed amount - column 4</t>
  </si>
  <si>
    <t>LSO - sum of enrollment in column e</t>
  </si>
  <si>
    <t>LSO - sum of Mike and Orig Enrollment</t>
  </si>
  <si>
    <t>average of mikes work</t>
  </si>
  <si>
    <t>INDEX</t>
  </si>
  <si>
    <t>=(H2*settings!$B$18)+settings!$B$19</t>
  </si>
  <si>
    <t>DIFFERENCE BETWEEN INDEX AND AVERAGE (OF 1); UNLESS INDEX IS HIGHER THAN AVERAGE (OF1)</t>
  </si>
  <si>
    <t>PERCENTAGE TO BE APPLIED AS A WEALTH WEIGHT</t>
  </si>
  <si>
    <t>WEIGHT = 1 + COLUMN J</t>
  </si>
  <si>
    <t>SCHOOL DISTRICT NUMBER</t>
  </si>
  <si>
    <t>SCHOOL DIST NAME</t>
  </si>
  <si>
    <t>FORMULA USED FOR CALCULATIONS WORKSHEET</t>
  </si>
  <si>
    <t>LSO VERSION - AS DESCRIBED BY PAUL (SEE DRAFT WRITE UP_</t>
  </si>
  <si>
    <t>LSO VERSION - AS DESCRIBED BY PAUL (SEE DRAFT WRITE UP)_COLUMN 2</t>
  </si>
  <si>
    <t xml:space="preserve">Calculations </t>
  </si>
  <si>
    <t>Wealth Adjustment</t>
  </si>
  <si>
    <t>LSO - Increase of Mikes work</t>
  </si>
  <si>
    <t>IF INDEX IS LESS THAN 1, THEN TAKE 1 MINUS THE INDEX AND MULTIPLY IT BY .06667, AND THEN SUBTRACT .06667 TO ARRIVE AT THE WEALTH WEIGHT.  THIS WEIGHT IS THEN MULTIPLIED BY THE UNWEIGHTED STUDENT ENROLLMENT COUNT, PURSUANT TO __ id code…, AND THEN MULTIPLY THIS BY THE Computed Base Amount Per Student  TO CALCULATE THE ADDED $$$ FOR THE TOTAL</t>
  </si>
  <si>
    <t>District Wealth Adjustment</t>
  </si>
  <si>
    <t>Proposed Student-Centered Funding Formula for Idaho</t>
  </si>
  <si>
    <t>Remote Building Adjustment</t>
  </si>
  <si>
    <t>Small District Weight</t>
  </si>
  <si>
    <t>Remote School Building Weight</t>
  </si>
  <si>
    <t>Large District Weight</t>
  </si>
  <si>
    <t>Cap for Elementary Enrollment</t>
  </si>
  <si>
    <t>Cap for Secondary Enrollment</t>
  </si>
  <si>
    <t>Large District Weight (Over 20,000 students)</t>
  </si>
  <si>
    <t>Economically Disadvantaged*</t>
  </si>
  <si>
    <t>Minimum Secondary Student Count for Non-Elementary Districts</t>
  </si>
  <si>
    <t>Funding Per Pupil</t>
  </si>
  <si>
    <t>Maximum Per Pupil Increase                              (Set on Front Page)</t>
  </si>
  <si>
    <t>Share of State K-12 Funding</t>
  </si>
  <si>
    <t>Total Funding Based on Per Pupil Cap</t>
  </si>
  <si>
    <t>Annual Change Without Cap</t>
  </si>
  <si>
    <t>Annual Change With Per Pupil Cap</t>
  </si>
  <si>
    <t>Maximum Annual Per Pupil Funding Increase</t>
  </si>
  <si>
    <t>Funding With Minimum</t>
  </si>
  <si>
    <t>Cost Without Cap</t>
  </si>
  <si>
    <t>Cost WITH CAP</t>
  </si>
  <si>
    <t>Funding Best of Minimum or Orginal</t>
  </si>
  <si>
    <t>Funding Best of Minimum or Capped Orginal</t>
  </si>
  <si>
    <t>Funding Change With Minimum - Without Cap</t>
  </si>
  <si>
    <t>Funding Change With Minimum - With Cap</t>
  </si>
  <si>
    <t>Minimum Total Funding Increase</t>
  </si>
  <si>
    <t>Gem Prep: Meridian</t>
  </si>
  <si>
    <t>Future Public School</t>
  </si>
  <si>
    <t>Peace Valley Charter School</t>
  </si>
  <si>
    <t>Project Impact STEM Acdmy</t>
  </si>
  <si>
    <t>ARTEC Industrial</t>
  </si>
  <si>
    <t>Total Funded Enrollment Count 2018-19</t>
  </si>
  <si>
    <t>Property Value Per Enrolled Student 2018-19</t>
  </si>
  <si>
    <r>
      <t xml:space="preserve">September </t>
    </r>
    <r>
      <rPr>
        <sz val="10"/>
        <color indexed="14"/>
        <rFont val="Arial"/>
        <family val="2"/>
      </rPr>
      <t>2018</t>
    </r>
    <r>
      <rPr>
        <sz val="10"/>
        <rFont val="Arial"/>
        <family val="2"/>
      </rPr>
      <t xml:space="preserve">
Market Value</t>
    </r>
  </si>
  <si>
    <t xml:space="preserve">*District highlighted in blue </t>
  </si>
  <si>
    <t>have figure based on the state average percentage</t>
  </si>
  <si>
    <t>F/R L Count from Database *</t>
  </si>
  <si>
    <t>GEM PREP: MERIDIAN, INC.</t>
  </si>
  <si>
    <t>FUTURE PUBLIC SCHOOL, INC.</t>
  </si>
  <si>
    <t>PEACE VALLEY CHARTER SCHOOL, INC.</t>
  </si>
  <si>
    <t>PROJECT IMPACT STEM ACADEMY, INC.</t>
  </si>
  <si>
    <t>Variance from Statewide Average</t>
  </si>
  <si>
    <t>#</t>
  </si>
  <si>
    <t>School District / Charter School</t>
  </si>
  <si>
    <t>Number of FTE Instructors</t>
  </si>
  <si>
    <t>Avg Salary Per Instructor</t>
  </si>
  <si>
    <t>Total Costs for Instructors</t>
  </si>
  <si>
    <t>Percentage</t>
  </si>
  <si>
    <t>Teacher Experience Adjustment**</t>
  </si>
  <si>
    <t>Teacher Experience Adjustment With Cap</t>
  </si>
  <si>
    <t>BOISE INDEPENDENT DISTRICT</t>
  </si>
  <si>
    <t>MERIDIAN JOINT DISTRICT</t>
  </si>
  <si>
    <t>KUNA JOINT DISTRICT</t>
  </si>
  <si>
    <t>MEADOWS VALLEY DISTRICT</t>
  </si>
  <si>
    <t>COUNCIL DISTRICT</t>
  </si>
  <si>
    <t>MARSH VALLEY JOINT DISTRICT</t>
  </si>
  <si>
    <t>POCATELLO DISTRICT</t>
  </si>
  <si>
    <t>BEAR LAKE COUNTY DISTRICT</t>
  </si>
  <si>
    <t>ST. MARIES JOINT DISTRICT</t>
  </si>
  <si>
    <t>PLUMMER / WORLEY JOINT DISTRICT</t>
  </si>
  <si>
    <t>SNAKE RIVER DISTRICT</t>
  </si>
  <si>
    <t>BLACKFOOT DISTRICT</t>
  </si>
  <si>
    <t>ABERDEEN DISTRICT</t>
  </si>
  <si>
    <t>FIRTH DISTRICT</t>
  </si>
  <si>
    <t>SHELLEY JOINT DISTRICT</t>
  </si>
  <si>
    <t>BLAINE COUNTY DISTRICT</t>
  </si>
  <si>
    <t>GARDEN VALLEY DISTRICT</t>
  </si>
  <si>
    <t>BASIN DISTRICT</t>
  </si>
  <si>
    <t>HORSESHOE BEND DISTRICT</t>
  </si>
  <si>
    <t>WEST BONNER COUNTY DISTRICT</t>
  </si>
  <si>
    <t>LAKE PEND OREILLE DISTRICT</t>
  </si>
  <si>
    <t>IDAHO FALLS DISTRICT</t>
  </si>
  <si>
    <t>SWAN VALLEY ELEMENTARY DISTRICT</t>
  </si>
  <si>
    <t>BONNEVILLE JOINT DISTRICT</t>
  </si>
  <si>
    <t>BOUNDARY COUNTY DISTRICT</t>
  </si>
  <si>
    <t>BUTTE COUNTY DISTRICT</t>
  </si>
  <si>
    <t>CAMAS COUNTY DISTRICT</t>
  </si>
  <si>
    <t>NAMPA DISTRICT</t>
  </si>
  <si>
    <t>CALDWELL DISTRICT</t>
  </si>
  <si>
    <t>WILDER DISTRICT</t>
  </si>
  <si>
    <t>MIDDLETON DISTRICT</t>
  </si>
  <si>
    <t>NOTUS DISTRICT</t>
  </si>
  <si>
    <t>MELBA JOINT DISTRICT</t>
  </si>
  <si>
    <t>PARMA DISTRICT</t>
  </si>
  <si>
    <t>VALLIVUE DISTRICT</t>
  </si>
  <si>
    <t>GRACE JOINT DISTRICT</t>
  </si>
  <si>
    <t>NORTH GEM DISTRICT</t>
  </si>
  <si>
    <t>SODA SPRINGS JOINT DISTRICT</t>
  </si>
  <si>
    <t>CASSIA COUNTY JOINT DISTRICT</t>
  </si>
  <si>
    <t>CLARK COUNTY JOINT DISTRICT</t>
  </si>
  <si>
    <t>OROFINO JOINT DISTRICT</t>
  </si>
  <si>
    <t>CHALLIS JOINT DISTRICT</t>
  </si>
  <si>
    <t>MACKAY JOINT DISTRICT</t>
  </si>
  <si>
    <t>PRAIRIE ELEMENTARY DISTRICT</t>
  </si>
  <si>
    <t>GLENNS FERRY JOINT DISTRICT</t>
  </si>
  <si>
    <t>MOUNTAIN HOME DISTRICT</t>
  </si>
  <si>
    <t>PRESTON JOINT DISTRICT</t>
  </si>
  <si>
    <t>WEST SIDE JOINT DISTRICT</t>
  </si>
  <si>
    <t>FREMONT COUNTY JOINT DISTRICT</t>
  </si>
  <si>
    <t>EMMETT INDEPENDENT DISTRICT</t>
  </si>
  <si>
    <t>GOODING JOINT DISTRICT</t>
  </si>
  <si>
    <t>WENDELL DISTRICT</t>
  </si>
  <si>
    <t>HAGERMAN JOINT DISTRICT</t>
  </si>
  <si>
    <t>BLISS JOINT DISTRICT</t>
  </si>
  <si>
    <t>COTTONWOOD JOINT DISTRICT</t>
  </si>
  <si>
    <t>SALMON RIVER JOINT DISTRICT</t>
  </si>
  <si>
    <t>MOUNTAIN VIEW DISTRICT</t>
  </si>
  <si>
    <t>JEFFERSON COUNTY JOINT DISTRICT</t>
  </si>
  <si>
    <t>RIRIE JOINT DISTRICT</t>
  </si>
  <si>
    <t>WEST JEFFERSON DISTRICT</t>
  </si>
  <si>
    <t>JEROME JOINT DISTRICT</t>
  </si>
  <si>
    <t>VALLEY DISTRICT</t>
  </si>
  <si>
    <t>COEUR D' ALENE DISTRICT</t>
  </si>
  <si>
    <t>LAKELAND DISTRICT</t>
  </si>
  <si>
    <t>POST FALLS DISTRICT</t>
  </si>
  <si>
    <t>KOOTENAI JOINT DISTRICT</t>
  </si>
  <si>
    <t>MOSCOW DISTRICT</t>
  </si>
  <si>
    <t>GENESEE JOINT DISTRICT</t>
  </si>
  <si>
    <t>KENDRICK JOINT DISTRICT</t>
  </si>
  <si>
    <t>POTLATCH DISTRICT</t>
  </si>
  <si>
    <t>TROY DISTRICT</t>
  </si>
  <si>
    <t>WHITEPINE JOINT DISTRICT</t>
  </si>
  <si>
    <t>SALMON DISTRICT</t>
  </si>
  <si>
    <t>SOUTH LEMHI DISTRICT</t>
  </si>
  <si>
    <t>NEZPERCE JOINT DISTRICT</t>
  </si>
  <si>
    <t>KAMIAH JOINT DISTRICT</t>
  </si>
  <si>
    <t>HIGHLAND JOINT DISTRICT</t>
  </si>
  <si>
    <t>SHOSHONE JOINT DISTRICT</t>
  </si>
  <si>
    <t>DIETRICH DISTRICT</t>
  </si>
  <si>
    <t>RICHFIELD DISTRICT</t>
  </si>
  <si>
    <t>MADISON DISTRICT</t>
  </si>
  <si>
    <t>SUGAR-SALEM JOINT DISTRICT</t>
  </si>
  <si>
    <t>MINIDOKA COUNTY JOINT DISTRICT</t>
  </si>
  <si>
    <t>LEWISTON INDEPENDENT DISTRICT</t>
  </si>
  <si>
    <t>LAPWAI DISTRICT</t>
  </si>
  <si>
    <t>CULDESAC JOINT DISTRICT</t>
  </si>
  <si>
    <t>ONEIDA COUNTY DISTRICT</t>
  </si>
  <si>
    <t>MARSING JOINT DISTRICT</t>
  </si>
  <si>
    <t>PLEASANT VALLEY ELEMENTARY DISTRICT</t>
  </si>
  <si>
    <t>BRUNEAU-GRAND VIEW JOINT DISTRICT</t>
  </si>
  <si>
    <t>HOMEDALE JOINT DISTRICT</t>
  </si>
  <si>
    <t>PAYETTE JOINT DISTRICT</t>
  </si>
  <si>
    <t>NEW PLYMOUTH DISTRICT</t>
  </si>
  <si>
    <t>FRUITLAND DISTRICT</t>
  </si>
  <si>
    <t>AMERICAN FALLS JOINT DISTRICT</t>
  </si>
  <si>
    <t>ROCKLAND DISTRICT</t>
  </si>
  <si>
    <t>ARBON ELEMENTARY DISTRICT</t>
  </si>
  <si>
    <t>KELLOGG JOINT DISTRICT</t>
  </si>
  <si>
    <t>MULLAN DISTRICT</t>
  </si>
  <si>
    <t>WALLACE DISTRICT</t>
  </si>
  <si>
    <t>AVERY DISTRICT</t>
  </si>
  <si>
    <t>TETON COUNTY DISTRICT</t>
  </si>
  <si>
    <t>TWIN FALLS DISTRICT</t>
  </si>
  <si>
    <t>BUHL JOINT DISTRICT</t>
  </si>
  <si>
    <t>FILER DISTRICT</t>
  </si>
  <si>
    <t>KIMBERLY DISTRICT</t>
  </si>
  <si>
    <t>HANSEN DISTRICT</t>
  </si>
  <si>
    <t>THREE CREEK JOINT ELEMENTARY DISTRICT</t>
  </si>
  <si>
    <t>CASTLEFORD JOINT DISTRICT</t>
  </si>
  <si>
    <t>MURTAUGH JOINT DISTRICT</t>
  </si>
  <si>
    <t>MCCALL-DONNELLY JOINT DISTRICT</t>
  </si>
  <si>
    <t>CASCADE DISTRICT</t>
  </si>
  <si>
    <t>WEISER DISTRICT</t>
  </si>
  <si>
    <t>CAMBRIDGE JOINT DISTRICT</t>
  </si>
  <si>
    <t>MIDVALE DISTRICT</t>
  </si>
  <si>
    <t>VICTORY CHARTER SCHOOL</t>
  </si>
  <si>
    <t>IDAHO VIRTUAL ACADEMY</t>
  </si>
  <si>
    <t>RICHARD MCKENNA CHARTER HIGH SCHOOL</t>
  </si>
  <si>
    <t>ROLLING HILLS CHARTER SCHOOL</t>
  </si>
  <si>
    <t>COMPASS PUBLIC CHARTER SCHOOL</t>
  </si>
  <si>
    <t>FALCON RIDGE PUBLIC CHARTER SCHOOL</t>
  </si>
  <si>
    <t>INSPIRE CONNECTIONS ACADEMY</t>
  </si>
  <si>
    <t>LIBERTY CHARTER SCHOOL</t>
  </si>
  <si>
    <t>ACADEMY AT ROOSEVELT CENTER</t>
  </si>
  <si>
    <t>TAYLOR'S CROSSING PUBLIC CHARTER SCHOOL</t>
  </si>
  <si>
    <t>XAVIER CHARTER SCHOOL</t>
  </si>
  <si>
    <t>VISION CHARTER SCHOOL</t>
  </si>
  <si>
    <t>WHITE PINE CHARTER SCHOOL</t>
  </si>
  <si>
    <t>NORTH VALLEY ACADEMY</t>
  </si>
  <si>
    <t>iSUCCEED VIRTUAL HIGH SCHOOL</t>
  </si>
  <si>
    <t>IDAHO SCIENCE &amp; TECHNOLOGY CHARTER SCHOOL</t>
  </si>
  <si>
    <t>IDAHO CONNECTS ONLINE SCHOOL</t>
  </si>
  <si>
    <t>KOOTENAI BRIDGE ACADEMY</t>
  </si>
  <si>
    <t>PALOUSE PRAIRIE SCHOOL</t>
  </si>
  <si>
    <t>THE VILLAGE CHARTER SCHOOL</t>
  </si>
  <si>
    <t>MONTICELLO MONTISORRI</t>
  </si>
  <si>
    <t>SAGE INTERNATIONAL SCHOOL OF BOISE</t>
  </si>
  <si>
    <t>ANOTHER CHOICE VIRTUAL CHARTER SCHOOL</t>
  </si>
  <si>
    <t>BLACKFOOT CHARTER COMMUNITY LEARNING CENTER</t>
  </si>
  <si>
    <t>LEGACY CHARTER SCHOOL</t>
  </si>
  <si>
    <t>HERITAGE ACADEMY</t>
  </si>
  <si>
    <t>NORTH IDAHO STEM CHARTER SCHOOL</t>
  </si>
  <si>
    <t>HERITAGE COMMUNITY CHARTER SCHOOL</t>
  </si>
  <si>
    <t>AMERICAN HERITAGE CHARTER SCHOOL</t>
  </si>
  <si>
    <t>CHIEF TAHGEE ELEMENTARY ACADEMY</t>
  </si>
  <si>
    <t>BINGHAM ACADEMY CHARTER</t>
  </si>
  <si>
    <t>UPPER CARMEN PUBLIC CHARTER SCHOOL</t>
  </si>
  <si>
    <t>FORREST M. BIRD CHARTER SCHOOL</t>
  </si>
  <si>
    <t>SYRINGA MOUNTAIN SCHOOL</t>
  </si>
  <si>
    <t>IDAHO COLLEGE &amp; CAREER READINESS</t>
  </si>
  <si>
    <t>IDAHO DISTANCE EDUCATION ACADEMY</t>
  </si>
  <si>
    <t>COEUR D' ALENE CHARTER ACADEMY</t>
  </si>
  <si>
    <t>ANSER CHARTER SCHOOL</t>
  </si>
  <si>
    <t>NORTH STAR CHARTER SCHOOL</t>
  </si>
  <si>
    <t>POCATELLO COMMUNITY CHARTER SCHOOL</t>
  </si>
  <si>
    <t>ALTURAS INTERNATIONAL ACADEMY</t>
  </si>
  <si>
    <t>GEM PREP: POCATELLO</t>
  </si>
  <si>
    <t>PATHWAYS IN EDUCATION - NAMPA</t>
  </si>
  <si>
    <t>Gem Prep: Meridian*</t>
  </si>
  <si>
    <t>Future Public School*</t>
  </si>
  <si>
    <t>Peace Valley Charter*</t>
  </si>
  <si>
    <t>Project Impact STEM*</t>
  </si>
  <si>
    <t>ARTE - Industrial*</t>
  </si>
  <si>
    <t>COSSA ACADEMY</t>
  </si>
  <si>
    <t>THOMAS JEFFERSON CHARTER SCHOOL</t>
  </si>
  <si>
    <t>SEI TEC</t>
  </si>
  <si>
    <t>MERIDIAN TECHNICAL CHARTER HIGH SCHOOL</t>
  </si>
  <si>
    <t>MERDIAN MEDICAL ARTS CHARTER HIGH SCHOOL</t>
  </si>
  <si>
    <t>ARTEC CHARTER SCHOOL</t>
  </si>
  <si>
    <t>PAYETTE RIVER TECHNICAL ACADEMY</t>
  </si>
  <si>
    <t>IDAHO ARTS CHARTER SCHOOL</t>
  </si>
  <si>
    <t>GEM PREP : NAMPA</t>
  </si>
  <si>
    <t>MOSCOW CHARTER SCHOOL</t>
  </si>
  <si>
    <t>Statewide Weighted Average</t>
  </si>
  <si>
    <t>Note:</t>
  </si>
  <si>
    <t>*There is no data for the five charter schools that opened in 2018 (Numbers: 498, 499, 511, 513, and 518).</t>
  </si>
  <si>
    <t xml:space="preserve">  Statewide averages were used for these five districts.</t>
  </si>
  <si>
    <t>**The experience adjusment is column "H" adjusted by 55.7% - which is Idaho's average expenditure on teacher salaries and benefits.</t>
  </si>
  <si>
    <t>Teacher Expriences Adjustment</t>
  </si>
  <si>
    <t>Weighted Prior To Teacher</t>
  </si>
  <si>
    <t>School Adjustment</t>
  </si>
  <si>
    <t>Front Page</t>
  </si>
  <si>
    <t>Teacher Experience</t>
  </si>
  <si>
    <t>Amount Below Previous Year Funding</t>
  </si>
  <si>
    <t>FY 2019 Approp</t>
  </si>
  <si>
    <t>FY 2020 Scenario</t>
  </si>
  <si>
    <t>Projected New Formula Funding Budget Estimating Tool</t>
  </si>
  <si>
    <t>FY 2019</t>
  </si>
  <si>
    <t>Early Graduation Scholarship**</t>
  </si>
  <si>
    <t>Fast Forward**</t>
  </si>
  <si>
    <t>Adjustments, Unemployment Insurance (paid directly to DOL), etc.</t>
  </si>
  <si>
    <t>Youth Challenge Academy (Orofino SD #171)</t>
  </si>
  <si>
    <t>Total State Funding to LEAs</t>
  </si>
  <si>
    <t>**Estimated based on FY 2018 actuals</t>
  </si>
  <si>
    <r>
      <t xml:space="preserve">Total Funding Available in Formula </t>
    </r>
    <r>
      <rPr>
        <i/>
        <sz val="16"/>
        <color theme="1"/>
        <rFont val="Calibri"/>
        <family val="2"/>
        <scheme val="minor"/>
      </rPr>
      <t>(2018-19 School Year)</t>
    </r>
  </si>
  <si>
    <r>
      <t xml:space="preserve">Min. Count for Secondary School Enroll. </t>
    </r>
    <r>
      <rPr>
        <sz val="12"/>
        <color theme="1"/>
        <rFont val="Calibri (Body)_x0000_"/>
      </rPr>
      <t>(Excluding Elementary Districts)</t>
    </r>
  </si>
  <si>
    <t>Cost to the State of Maximum Hold Harmless from Loss</t>
  </si>
  <si>
    <t>Cost to the State of a Minimum Hold "Positive" Increase</t>
  </si>
  <si>
    <t>Include Instructor Experience Adjustment</t>
  </si>
  <si>
    <t>Maximum Instructor Experience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</si>
</sst>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 #,##0.000_);_(* \(#,##0.000\);_(* &quot;-&quot;??_);_(@_)"/>
    <numFmt numFmtId="167" formatCode="0.0%"/>
    <numFmt numFmtId="168" formatCode="_(&quot;$&quot;* #,##0_);_(&quot;$&quot;* \(#,##0\);_(&quot;$&quot;* &quot;-&quot;??_);_(@_)"/>
    <numFmt numFmtId="169" formatCode="_(&quot;$&quot;* #,##0_);_(&quot;$&quot;* \(#,##0\);_(&quot;$&quot;* &quot;-&quot;???_);_(@_)"/>
    <numFmt numFmtId="170" formatCode="0.000"/>
    <numFmt numFmtId="171" formatCode="_(* #,##0.0_);_(* \(#,##0.0\);_(* &quot;-&quot;??_);_(@_)"/>
    <numFmt numFmtId="172" formatCode="&quot;$&quot;#,##0.00"/>
    <numFmt numFmtId="173" formatCode="0.0000"/>
    <numFmt numFmtId="174" formatCode="000"/>
    <numFmt numFmtId="175" formatCode="0.00000"/>
    <numFmt numFmtId="176" formatCode="0.000000"/>
    <numFmt numFmtId="177" formatCode="0.0"/>
    <numFmt numFmtId="178" formatCode="#,##0.0000"/>
  </numFmts>
  <fonts count="26">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sz val="14"/>
      <color theme="1"/>
      <name val="Calibri"/>
      <family val="2"/>
      <scheme val="minor"/>
    </font>
    <font>
      <sz val="10"/>
      <color indexed="14"/>
      <name val="Arial"/>
      <family val="2"/>
    </font>
    <font>
      <sz val="10"/>
      <color indexed="12"/>
      <name val="Arial"/>
      <family val="2"/>
    </font>
    <font>
      <sz val="10"/>
      <color rgb="FF0000FF"/>
      <name val="Arial"/>
      <family val="2"/>
    </font>
    <font>
      <b/>
      <sz val="10"/>
      <color indexed="12"/>
      <name val="Arial"/>
      <family val="2"/>
    </font>
    <font>
      <b/>
      <sz val="9"/>
      <color rgb="FF000000"/>
      <name val="Tahoma"/>
      <family val="2"/>
    </font>
    <font>
      <sz val="9"/>
      <color rgb="FF000000"/>
      <name val="Tahoma"/>
      <family val="2"/>
    </font>
    <font>
      <b/>
      <sz val="16"/>
      <color theme="1"/>
      <name val="Calibri"/>
      <family val="2"/>
      <scheme val="minor"/>
    </font>
    <font>
      <sz val="20"/>
      <color theme="1"/>
      <name val="Calibri"/>
      <family val="2"/>
      <scheme val="minor"/>
    </font>
    <font>
      <i/>
      <sz val="16"/>
      <color theme="1"/>
      <name val="Calibri"/>
      <family val="2"/>
      <scheme val="minor"/>
    </font>
    <font>
      <sz val="10"/>
      <color theme="1"/>
      <name val="Calibri"/>
      <family val="2"/>
      <scheme val="minor"/>
    </font>
    <font>
      <sz val="16"/>
      <color theme="1"/>
      <name val="Calibri"/>
      <family val="2"/>
      <scheme val="minor"/>
    </font>
    <font>
      <sz val="12"/>
      <color theme="1"/>
      <name val="Calibri (Body)_x0000_"/>
    </font>
    <font>
      <b/>
      <sz val="11"/>
      <name val="Arial"/>
      <family val="2"/>
    </font>
    <font>
      <sz val="11"/>
      <name val="Calibri"/>
      <family val="2"/>
      <scheme val="minor"/>
    </font>
    <font>
      <b/>
      <sz val="11"/>
      <name val="Calibri"/>
      <family val="2"/>
      <scheme val="minor"/>
    </font>
  </fonts>
  <fills count="25">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bgColor indexed="64"/>
      </patternFill>
    </fill>
    <fill>
      <patternFill patternType="solid">
        <fgColor rgb="FFFFC000"/>
        <bgColor indexed="64"/>
      </patternFill>
    </fill>
    <fill>
      <patternFill patternType="solid">
        <fgColor theme="2" tint="0.7999816888943144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2"/>
        <bgColor indexed="64"/>
      </patternFill>
    </fill>
    <fill>
      <patternFill patternType="solid">
        <fgColor theme="2" tint="0.59999389629810485"/>
        <bgColor indexed="64"/>
      </patternFill>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thin">
        <color indexed="64"/>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s>
  <cellStyleXfs count="5">
    <xf numFmtId="0" fontId="0" fillId="0" borderId="0"/>
    <xf numFmtId="43" fontId="2" fillId="0" borderId="0" applyFont="0" applyFill="0" applyBorder="0" applyAlignment="0" applyProtection="0"/>
    <xf numFmtId="0" fontId="4" fillId="0" borderId="0"/>
    <xf numFmtId="9" fontId="2" fillId="0" borderId="0" applyFont="0" applyFill="0" applyBorder="0" applyAlignment="0" applyProtection="0"/>
    <xf numFmtId="44" fontId="2" fillId="0" borderId="0" applyFont="0" applyFill="0" applyBorder="0" applyAlignment="0" applyProtection="0"/>
  </cellStyleXfs>
  <cellXfs count="344">
    <xf numFmtId="0" fontId="0" fillId="0" borderId="0" xfId="0"/>
    <xf numFmtId="0" fontId="0" fillId="0" borderId="0" xfId="0" applyAlignment="1">
      <alignment horizontal="center"/>
    </xf>
    <xf numFmtId="0" fontId="3" fillId="2" borderId="0" xfId="0" applyFont="1" applyFill="1"/>
    <xf numFmtId="0" fontId="0" fillId="0" borderId="0" xfId="0" applyAlignment="1">
      <alignment horizontal="center" wrapText="1"/>
    </xf>
    <xf numFmtId="16" fontId="0" fillId="0" borderId="0" xfId="0" quotePrefix="1" applyNumberFormat="1" applyAlignment="1">
      <alignment horizontal="center"/>
    </xf>
    <xf numFmtId="6" fontId="0" fillId="0" borderId="0" xfId="0" applyNumberFormat="1"/>
    <xf numFmtId="8" fontId="0" fillId="0" borderId="0" xfId="0" applyNumberFormat="1"/>
    <xf numFmtId="164" fontId="0" fillId="0" borderId="0" xfId="0" applyNumberFormat="1"/>
    <xf numFmtId="0" fontId="0" fillId="0" borderId="0" xfId="0" applyAlignment="1">
      <alignment horizontal="center"/>
    </xf>
    <xf numFmtId="0" fontId="0" fillId="0" borderId="0" xfId="0" applyFill="1" applyBorder="1"/>
    <xf numFmtId="0" fontId="3" fillId="0" borderId="0" xfId="0" applyFont="1" applyFill="1" applyBorder="1"/>
    <xf numFmtId="0" fontId="0" fillId="0" borderId="0" xfId="0" applyNumberFormat="1" applyFill="1" applyBorder="1"/>
    <xf numFmtId="1" fontId="0" fillId="0" borderId="0" xfId="0" applyNumberFormat="1" applyFill="1" applyBorder="1"/>
    <xf numFmtId="0" fontId="0" fillId="0" borderId="0" xfId="0" applyFill="1" applyBorder="1" applyAlignment="1"/>
    <xf numFmtId="0" fontId="3" fillId="0" borderId="0" xfId="0" applyFont="1" applyFill="1" applyBorder="1" applyAlignment="1"/>
    <xf numFmtId="0" fontId="5" fillId="0" borderId="0" xfId="2" applyFont="1" applyAlignment="1">
      <alignment horizontal="center" wrapText="1"/>
    </xf>
    <xf numFmtId="0" fontId="5" fillId="0" borderId="0" xfId="2" applyFont="1" applyFill="1" applyAlignment="1">
      <alignment horizontal="center" wrapText="1"/>
    </xf>
    <xf numFmtId="0" fontId="3" fillId="0" borderId="0" xfId="0" applyFont="1" applyFill="1" applyBorder="1" applyAlignment="1">
      <alignment horizontal="center" wrapText="1"/>
    </xf>
    <xf numFmtId="0" fontId="0" fillId="4" borderId="0" xfId="0" applyFill="1" applyBorder="1" applyAlignment="1"/>
    <xf numFmtId="0" fontId="0" fillId="4" borderId="0" xfId="0" applyFill="1" applyBorder="1"/>
    <xf numFmtId="1" fontId="0" fillId="4" borderId="0" xfId="0" applyNumberFormat="1" applyFill="1" applyBorder="1"/>
    <xf numFmtId="0" fontId="0" fillId="3" borderId="0" xfId="0" applyFill="1" applyBorder="1"/>
    <xf numFmtId="0" fontId="0" fillId="5" borderId="0" xfId="0" applyFill="1" applyBorder="1"/>
    <xf numFmtId="165" fontId="0" fillId="0" borderId="0" xfId="1" applyNumberFormat="1" applyFont="1" applyFill="1" applyBorder="1"/>
    <xf numFmtId="165" fontId="3" fillId="0" borderId="0" xfId="1" applyNumberFormat="1" applyFont="1" applyFill="1" applyBorder="1" applyAlignment="1">
      <alignment horizontal="center" wrapText="1"/>
    </xf>
    <xf numFmtId="1" fontId="0" fillId="0" borderId="0" xfId="0" applyNumberFormat="1"/>
    <xf numFmtId="165" fontId="0" fillId="0" borderId="0" xfId="1" applyNumberFormat="1" applyFont="1"/>
    <xf numFmtId="0" fontId="3" fillId="0" borderId="0" xfId="0" applyFont="1" applyAlignment="1">
      <alignment horizontal="center" wrapText="1"/>
    </xf>
    <xf numFmtId="0" fontId="0" fillId="4" borderId="0" xfId="0" applyFill="1"/>
    <xf numFmtId="0" fontId="0" fillId="4" borderId="0" xfId="0" applyFill="1" applyAlignment="1">
      <alignment wrapText="1"/>
    </xf>
    <xf numFmtId="0" fontId="0" fillId="0" borderId="0" xfId="0" applyFill="1"/>
    <xf numFmtId="1" fontId="0" fillId="0" borderId="0" xfId="0" applyNumberFormat="1" applyFill="1"/>
    <xf numFmtId="0" fontId="3" fillId="4" borderId="0" xfId="0" applyFont="1" applyFill="1" applyAlignment="1">
      <alignment horizontal="center"/>
    </xf>
    <xf numFmtId="0" fontId="0" fillId="0" borderId="0" xfId="0" applyFill="1" applyAlignment="1">
      <alignment horizontal="center" wrapText="1"/>
    </xf>
    <xf numFmtId="0" fontId="0" fillId="0" borderId="0" xfId="0" quotePrefix="1" applyFill="1" applyAlignment="1">
      <alignment horizontal="center" wrapText="1"/>
    </xf>
    <xf numFmtId="0" fontId="3" fillId="0" borderId="0" xfId="0" applyFont="1" applyAlignment="1">
      <alignment horizontal="center" wrapText="1"/>
    </xf>
    <xf numFmtId="10" fontId="0" fillId="0" borderId="0" xfId="3" applyNumberFormat="1" applyFont="1"/>
    <xf numFmtId="43" fontId="0" fillId="0" borderId="0" xfId="1" applyFont="1"/>
    <xf numFmtId="0" fontId="0" fillId="3" borderId="0" xfId="0" applyFill="1"/>
    <xf numFmtId="166" fontId="0" fillId="0" borderId="0" xfId="1" applyNumberFormat="1" applyFont="1"/>
    <xf numFmtId="166" fontId="0" fillId="0" borderId="0" xfId="0" applyNumberFormat="1"/>
    <xf numFmtId="166" fontId="0" fillId="0" borderId="0" xfId="1" applyNumberFormat="1" applyFont="1" applyAlignment="1">
      <alignment wrapText="1"/>
    </xf>
    <xf numFmtId="43" fontId="0" fillId="0" borderId="0" xfId="0" applyNumberFormat="1"/>
    <xf numFmtId="0" fontId="3" fillId="0" borderId="0" xfId="0" applyFont="1" applyAlignment="1">
      <alignment horizontal="center"/>
    </xf>
    <xf numFmtId="0" fontId="0" fillId="0" borderId="0" xfId="0"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9" borderId="0" xfId="0" applyFill="1"/>
    <xf numFmtId="0" fontId="3" fillId="9" borderId="0" xfId="0" applyFont="1" applyFill="1" applyAlignment="1"/>
    <xf numFmtId="0" fontId="10" fillId="7" borderId="9" xfId="0" applyFont="1" applyFill="1" applyBorder="1" applyAlignment="1">
      <alignment horizontal="center"/>
    </xf>
    <xf numFmtId="0" fontId="10" fillId="0" borderId="2" xfId="0" applyFont="1" applyFill="1" applyBorder="1" applyAlignment="1">
      <alignment horizontal="center"/>
    </xf>
    <xf numFmtId="0" fontId="10" fillId="7" borderId="10" xfId="0" applyFont="1" applyFill="1" applyBorder="1" applyAlignment="1">
      <alignment horizontal="center"/>
    </xf>
    <xf numFmtId="164" fontId="3" fillId="0" borderId="0" xfId="0" applyNumberFormat="1" applyFont="1" applyAlignment="1">
      <alignment horizontal="center"/>
    </xf>
    <xf numFmtId="167" fontId="8" fillId="0" borderId="0" xfId="0" applyNumberFormat="1" applyFont="1" applyAlignment="1">
      <alignment horizontal="center"/>
    </xf>
    <xf numFmtId="0" fontId="3" fillId="0" borderId="0" xfId="0" applyFont="1" applyAlignment="1">
      <alignment horizontal="center" wrapText="1"/>
    </xf>
    <xf numFmtId="10" fontId="0" fillId="0" borderId="0" xfId="0" applyNumberFormat="1" applyAlignment="1">
      <alignment horizontal="center"/>
    </xf>
    <xf numFmtId="167" fontId="0" fillId="0" borderId="0" xfId="0" applyNumberFormat="1" applyAlignment="1">
      <alignment horizontal="center"/>
    </xf>
    <xf numFmtId="6" fontId="0" fillId="0" borderId="0" xfId="0" applyNumberFormat="1" applyAlignment="1">
      <alignment horizontal="center"/>
    </xf>
    <xf numFmtId="164" fontId="0" fillId="0" borderId="0" xfId="0" applyNumberFormat="1" applyAlignment="1">
      <alignment horizontal="center"/>
    </xf>
    <xf numFmtId="0" fontId="10" fillId="0" borderId="17" xfId="0" applyFont="1" applyBorder="1" applyAlignment="1">
      <alignment horizontal="center"/>
    </xf>
    <xf numFmtId="0" fontId="9" fillId="0" borderId="0" xfId="0" applyFont="1" applyAlignment="1">
      <alignment horizontal="center"/>
    </xf>
    <xf numFmtId="0" fontId="5" fillId="11" borderId="0" xfId="2" applyFont="1" applyFill="1" applyAlignment="1">
      <alignment horizontal="center" wrapText="1"/>
    </xf>
    <xf numFmtId="164" fontId="0" fillId="0" borderId="15" xfId="4" applyNumberFormat="1" applyFont="1" applyBorder="1" applyAlignment="1">
      <alignment horizontal="center"/>
    </xf>
    <xf numFmtId="0" fontId="8" fillId="0" borderId="0" xfId="0" applyFont="1" applyAlignment="1">
      <alignment horizontal="center"/>
    </xf>
    <xf numFmtId="168" fontId="0" fillId="0" borderId="0" xfId="4" applyNumberFormat="1" applyFont="1"/>
    <xf numFmtId="5" fontId="0" fillId="0" borderId="15" xfId="4" applyNumberFormat="1" applyFont="1" applyBorder="1" applyAlignment="1">
      <alignment horizontal="center"/>
    </xf>
    <xf numFmtId="5" fontId="0" fillId="0" borderId="19" xfId="4" applyNumberFormat="1" applyFont="1" applyBorder="1" applyAlignment="1">
      <alignment horizontal="center"/>
    </xf>
    <xf numFmtId="5" fontId="8" fillId="0" borderId="20" xfId="4" applyNumberFormat="1" applyFont="1" applyBorder="1" applyAlignment="1">
      <alignment horizontal="center"/>
    </xf>
    <xf numFmtId="168" fontId="8" fillId="12" borderId="20" xfId="4" applyNumberFormat="1" applyFont="1" applyFill="1" applyBorder="1"/>
    <xf numFmtId="10" fontId="0" fillId="0" borderId="15" xfId="4" applyNumberFormat="1" applyFont="1" applyBorder="1" applyAlignment="1">
      <alignment horizontal="center"/>
    </xf>
    <xf numFmtId="5" fontId="8" fillId="0" borderId="0" xfId="4" applyNumberFormat="1" applyFont="1" applyBorder="1" applyAlignment="1">
      <alignment horizontal="center"/>
    </xf>
    <xf numFmtId="164" fontId="8" fillId="0" borderId="0" xfId="0" applyNumberFormat="1" applyFont="1" applyBorder="1" applyAlignment="1">
      <alignment horizontal="center"/>
    </xf>
    <xf numFmtId="168" fontId="8" fillId="0" borderId="0" xfId="4" applyNumberFormat="1" applyFont="1" applyFill="1" applyBorder="1"/>
    <xf numFmtId="168" fontId="0" fillId="0" borderId="0" xfId="4" applyNumberFormat="1" applyFont="1" applyAlignment="1">
      <alignment horizontal="center"/>
    </xf>
    <xf numFmtId="5" fontId="0" fillId="0" borderId="0" xfId="4" applyNumberFormat="1" applyFont="1" applyAlignment="1">
      <alignment horizontal="center"/>
    </xf>
    <xf numFmtId="0" fontId="0" fillId="0" borderId="0" xfId="0" applyAlignment="1">
      <alignment wrapText="1"/>
    </xf>
    <xf numFmtId="5" fontId="0" fillId="0" borderId="0" xfId="0" applyNumberFormat="1" applyAlignment="1">
      <alignment horizontal="center"/>
    </xf>
    <xf numFmtId="164" fontId="0" fillId="4" borderId="0" xfId="4" applyNumberFormat="1" applyFont="1" applyFill="1" applyBorder="1" applyAlignment="1">
      <alignment horizontal="center"/>
    </xf>
    <xf numFmtId="164" fontId="0" fillId="4" borderId="15" xfId="4" applyNumberFormat="1" applyFont="1" applyFill="1" applyBorder="1" applyAlignment="1">
      <alignment horizontal="center"/>
    </xf>
    <xf numFmtId="10" fontId="0" fillId="0" borderId="19" xfId="4" applyNumberFormat="1" applyFont="1" applyBorder="1" applyAlignment="1">
      <alignment horizontal="center"/>
    </xf>
    <xf numFmtId="0" fontId="0" fillId="0" borderId="0" xfId="0" quotePrefix="1"/>
    <xf numFmtId="0" fontId="0" fillId="0" borderId="0" xfId="0" quotePrefix="1" applyNumberFormat="1"/>
    <xf numFmtId="0" fontId="3" fillId="0" borderId="0" xfId="0" applyFont="1" applyFill="1" applyAlignment="1">
      <alignment horizontal="center"/>
    </xf>
    <xf numFmtId="0" fontId="0" fillId="0" borderId="0" xfId="0" applyAlignment="1">
      <alignment horizontal="center" wrapText="1"/>
    </xf>
    <xf numFmtId="9" fontId="0" fillId="0" borderId="0" xfId="0" applyNumberFormat="1"/>
    <xf numFmtId="0" fontId="0" fillId="0" borderId="0" xfId="0" applyAlignment="1">
      <alignment horizontal="center" wrapText="1"/>
    </xf>
    <xf numFmtId="9" fontId="0" fillId="0" borderId="0" xfId="3" applyFont="1"/>
    <xf numFmtId="0" fontId="0" fillId="0" borderId="0" xfId="0" applyFont="1" applyFill="1"/>
    <xf numFmtId="0" fontId="10" fillId="0" borderId="1" xfId="0" applyFont="1" applyBorder="1" applyAlignment="1">
      <alignment horizontal="center" vertical="center"/>
    </xf>
    <xf numFmtId="0" fontId="10" fillId="7" borderId="9" xfId="0" applyFont="1" applyFill="1" applyBorder="1" applyAlignment="1">
      <alignment horizontal="center" vertical="center"/>
    </xf>
    <xf numFmtId="0" fontId="10" fillId="7" borderId="24" xfId="0" applyFont="1" applyFill="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3"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9" fillId="8" borderId="16" xfId="0" applyFont="1" applyFill="1" applyBorder="1" applyAlignment="1">
      <alignment horizontal="left"/>
    </xf>
    <xf numFmtId="0" fontId="9" fillId="13" borderId="13" xfId="0" applyFont="1" applyFill="1" applyBorder="1" applyAlignment="1">
      <alignment horizontal="left"/>
    </xf>
    <xf numFmtId="0" fontId="9" fillId="13" borderId="14" xfId="0" applyFont="1" applyFill="1" applyBorder="1" applyAlignment="1">
      <alignment horizontal="left"/>
    </xf>
    <xf numFmtId="0" fontId="9" fillId="8" borderId="16" xfId="0" applyFont="1" applyFill="1" applyBorder="1" applyAlignment="1">
      <alignment horizontal="left" vertical="center"/>
    </xf>
    <xf numFmtId="0" fontId="9" fillId="13" borderId="9" xfId="0" applyFont="1" applyFill="1" applyBorder="1" applyAlignment="1">
      <alignment horizontal="left"/>
    </xf>
    <xf numFmtId="0" fontId="9" fillId="13" borderId="10" xfId="0" applyFont="1" applyFill="1" applyBorder="1" applyAlignment="1">
      <alignment horizontal="left"/>
    </xf>
    <xf numFmtId="171" fontId="0" fillId="0" borderId="0" xfId="1" applyNumberFormat="1" applyFont="1" applyFill="1"/>
    <xf numFmtId="172" fontId="0" fillId="0" borderId="0" xfId="0" applyNumberFormat="1"/>
    <xf numFmtId="174" fontId="12" fillId="0" borderId="0" xfId="0" applyNumberFormat="1" applyFont="1" applyAlignment="1">
      <alignment horizontal="center"/>
    </xf>
    <xf numFmtId="174" fontId="12" fillId="0" borderId="0" xfId="0" quotePrefix="1" applyNumberFormat="1" applyFont="1" applyAlignment="1">
      <alignment horizontal="left"/>
    </xf>
    <xf numFmtId="164" fontId="13" fillId="0" borderId="0" xfId="0" applyNumberFormat="1" applyFont="1"/>
    <xf numFmtId="3" fontId="0" fillId="0" borderId="0" xfId="0" applyNumberFormat="1"/>
    <xf numFmtId="174" fontId="12" fillId="0" borderId="0" xfId="0" applyNumberFormat="1" applyFont="1"/>
    <xf numFmtId="174" fontId="12" fillId="0" borderId="0" xfId="0" applyNumberFormat="1" applyFont="1" applyAlignment="1">
      <alignment horizontal="left"/>
    </xf>
    <xf numFmtId="174" fontId="14" fillId="0" borderId="0" xfId="0" applyNumberFormat="1" applyFont="1" applyAlignment="1">
      <alignment horizontal="center"/>
    </xf>
    <xf numFmtId="174" fontId="4" fillId="0" borderId="0" xfId="0" applyNumberFormat="1" applyFont="1" applyAlignment="1">
      <alignment horizontal="left"/>
    </xf>
    <xf numFmtId="174" fontId="4" fillId="0" borderId="0" xfId="0" applyNumberFormat="1" applyFont="1" applyAlignment="1"/>
    <xf numFmtId="0" fontId="9" fillId="8" borderId="1" xfId="0" applyFont="1" applyFill="1" applyBorder="1" applyAlignment="1">
      <alignment horizontal="left" vertical="center"/>
    </xf>
    <xf numFmtId="0" fontId="9" fillId="8" borderId="2" xfId="0" applyFont="1" applyFill="1" applyBorder="1" applyAlignment="1">
      <alignment horizontal="left" vertical="center"/>
    </xf>
    <xf numFmtId="167" fontId="10" fillId="7" borderId="25" xfId="0" applyNumberFormat="1" applyFont="1" applyFill="1" applyBorder="1" applyAlignment="1">
      <alignment horizontal="center"/>
    </xf>
    <xf numFmtId="0" fontId="10" fillId="0" borderId="15" xfId="0" applyFont="1" applyBorder="1" applyAlignment="1">
      <alignment horizontal="center"/>
    </xf>
    <xf numFmtId="0" fontId="10" fillId="0" borderId="18" xfId="0" applyFont="1" applyBorder="1" applyAlignment="1">
      <alignment horizontal="center" vertical="center"/>
    </xf>
    <xf numFmtId="164" fontId="10" fillId="10" borderId="15" xfId="0" applyNumberFormat="1" applyFont="1" applyFill="1" applyBorder="1" applyAlignment="1">
      <alignment horizontal="center" vertical="center"/>
    </xf>
    <xf numFmtId="0" fontId="0" fillId="0" borderId="0" xfId="0" applyAlignment="1">
      <alignment vertical="center"/>
    </xf>
    <xf numFmtId="0" fontId="10" fillId="10" borderId="15" xfId="0" applyFont="1" applyFill="1" applyBorder="1" applyAlignment="1">
      <alignment horizontal="center" vertical="center"/>
    </xf>
    <xf numFmtId="0" fontId="0" fillId="14" borderId="0" xfId="0" applyFill="1"/>
    <xf numFmtId="0" fontId="10" fillId="14" borderId="0" xfId="0" applyFont="1" applyFill="1" applyAlignment="1">
      <alignment vertical="center"/>
    </xf>
    <xf numFmtId="6" fontId="10" fillId="14" borderId="0" xfId="0" applyNumberFormat="1" applyFont="1" applyFill="1" applyAlignment="1">
      <alignment vertical="center"/>
    </xf>
    <xf numFmtId="0" fontId="10" fillId="0" borderId="17" xfId="0" applyFont="1" applyFill="1" applyBorder="1" applyAlignment="1">
      <alignment horizontal="center" vertical="center"/>
    </xf>
    <xf numFmtId="164" fontId="10" fillId="0" borderId="16" xfId="0" applyNumberFormat="1"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xf>
    <xf numFmtId="0" fontId="10" fillId="7" borderId="17" xfId="0" applyFont="1" applyFill="1" applyBorder="1" applyAlignment="1">
      <alignment horizontal="center"/>
    </xf>
    <xf numFmtId="167" fontId="10" fillId="7" borderId="15" xfId="0" applyNumberFormat="1" applyFont="1" applyFill="1" applyBorder="1" applyAlignment="1">
      <alignment horizontal="center"/>
    </xf>
    <xf numFmtId="0" fontId="10" fillId="7" borderId="17" xfId="0" applyFont="1" applyFill="1" applyBorder="1" applyAlignment="1">
      <alignment horizontal="center" vertical="center"/>
    </xf>
    <xf numFmtId="167" fontId="10" fillId="7" borderId="26" xfId="0" applyNumberFormat="1" applyFont="1" applyFill="1" applyBorder="1" applyAlignment="1">
      <alignment horizontal="center" vertical="center"/>
    </xf>
    <xf numFmtId="164" fontId="10" fillId="7" borderId="18" xfId="0" applyNumberFormat="1" applyFont="1" applyFill="1" applyBorder="1" applyAlignment="1">
      <alignment horizontal="center" vertical="center"/>
    </xf>
    <xf numFmtId="0" fontId="3" fillId="0" borderId="0" xfId="0" applyFont="1"/>
    <xf numFmtId="0" fontId="1" fillId="0" borderId="0" xfId="0" applyFont="1" applyAlignment="1">
      <alignment horizontal="left"/>
    </xf>
    <xf numFmtId="6" fontId="17" fillId="6" borderId="4" xfId="0" applyNumberFormat="1" applyFont="1" applyFill="1" applyBorder="1" applyAlignment="1">
      <alignment horizontal="center" vertical="center"/>
    </xf>
    <xf numFmtId="8" fontId="17" fillId="7" borderId="5" xfId="0" applyNumberFormat="1" applyFont="1" applyFill="1" applyBorder="1" applyAlignment="1">
      <alignment horizontal="center" vertical="center"/>
    </xf>
    <xf numFmtId="0" fontId="17" fillId="6" borderId="6" xfId="0" applyFont="1" applyFill="1" applyBorder="1" applyAlignment="1">
      <alignment vertical="center"/>
    </xf>
    <xf numFmtId="0" fontId="17" fillId="7" borderId="3" xfId="0" applyFont="1" applyFill="1" applyBorder="1" applyAlignment="1">
      <alignment vertical="center"/>
    </xf>
    <xf numFmtId="0" fontId="9" fillId="8" borderId="9" xfId="0" applyFont="1" applyFill="1" applyBorder="1" applyAlignment="1">
      <alignment horizontal="left"/>
    </xf>
    <xf numFmtId="0" fontId="9" fillId="8" borderId="10" xfId="0" applyFont="1" applyFill="1" applyBorder="1" applyAlignment="1">
      <alignment horizontal="left"/>
    </xf>
    <xf numFmtId="0" fontId="10" fillId="0" borderId="9" xfId="0" applyFont="1" applyFill="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17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Alignment="1">
      <alignment horizontal="center"/>
    </xf>
    <xf numFmtId="2" fontId="12" fillId="0" borderId="0" xfId="0" applyNumberFormat="1" applyFont="1" applyAlignment="1">
      <alignment horizontal="center"/>
    </xf>
    <xf numFmtId="9" fontId="10" fillId="0" borderId="2" xfId="0" applyNumberFormat="1" applyFont="1" applyFill="1" applyBorder="1" applyAlignment="1">
      <alignment horizontal="center" vertical="center"/>
    </xf>
    <xf numFmtId="9" fontId="10" fillId="0" borderId="10" xfId="0" applyNumberFormat="1" applyFont="1" applyFill="1" applyBorder="1" applyAlignment="1">
      <alignment horizontal="center" vertical="center"/>
    </xf>
    <xf numFmtId="9" fontId="10" fillId="0" borderId="12" xfId="1" applyNumberFormat="1" applyFont="1" applyFill="1" applyBorder="1" applyAlignment="1">
      <alignment horizontal="center" vertical="center"/>
    </xf>
    <xf numFmtId="9" fontId="10" fillId="7" borderId="10" xfId="0" applyNumberFormat="1" applyFont="1" applyFill="1" applyBorder="1" applyAlignment="1">
      <alignment horizontal="center" vertical="center"/>
    </xf>
    <xf numFmtId="0" fontId="0" fillId="11" borderId="0" xfId="0" applyFill="1" applyBorder="1"/>
    <xf numFmtId="0" fontId="5" fillId="3" borderId="0" xfId="2" applyFont="1" applyFill="1" applyAlignment="1">
      <alignment horizontal="center" wrapText="1"/>
    </xf>
    <xf numFmtId="164" fontId="0" fillId="3" borderId="0" xfId="0" applyNumberFormat="1" applyFill="1"/>
    <xf numFmtId="10" fontId="0" fillId="3" borderId="0" xfId="3" applyNumberFormat="1" applyFont="1" applyFill="1"/>
    <xf numFmtId="6" fontId="0" fillId="3" borderId="0" xfId="0" applyNumberFormat="1" applyFill="1"/>
    <xf numFmtId="10" fontId="0" fillId="3" borderId="0" xfId="0" applyNumberFormat="1" applyFill="1" applyAlignment="1">
      <alignment horizontal="center"/>
    </xf>
    <xf numFmtId="8" fontId="0" fillId="3" borderId="0" xfId="0" applyNumberFormat="1" applyFill="1"/>
    <xf numFmtId="6" fontId="0" fillId="3" borderId="0" xfId="0" applyNumberFormat="1" applyFill="1" applyAlignment="1">
      <alignment horizontal="center"/>
    </xf>
    <xf numFmtId="0" fontId="0" fillId="16" borderId="0" xfId="0" applyFill="1"/>
    <xf numFmtId="166" fontId="0" fillId="0" borderId="0" xfId="0" quotePrefix="1" applyNumberFormat="1"/>
    <xf numFmtId="175" fontId="0" fillId="0" borderId="0" xfId="0" applyNumberFormat="1"/>
    <xf numFmtId="43" fontId="0" fillId="0" borderId="0" xfId="1" applyFont="1" applyFill="1"/>
    <xf numFmtId="166" fontId="0" fillId="0" borderId="0" xfId="1" applyNumberFormat="1" applyFont="1" applyFill="1"/>
    <xf numFmtId="166" fontId="0" fillId="0" borderId="0" xfId="0" applyNumberFormat="1" applyFill="1"/>
    <xf numFmtId="175" fontId="0" fillId="0" borderId="0" xfId="0" applyNumberFormat="1" applyFill="1"/>
    <xf numFmtId="176" fontId="0" fillId="0" borderId="0" xfId="0" applyNumberFormat="1"/>
    <xf numFmtId="0" fontId="0" fillId="17" borderId="0" xfId="0" applyFill="1"/>
    <xf numFmtId="166" fontId="0" fillId="17" borderId="0" xfId="1" applyNumberFormat="1" applyFont="1" applyFill="1"/>
    <xf numFmtId="0" fontId="0" fillId="17" borderId="0" xfId="0" applyFill="1" applyAlignment="1">
      <alignment wrapText="1"/>
    </xf>
    <xf numFmtId="0" fontId="0" fillId="17" borderId="0" xfId="0" applyFill="1" applyAlignment="1">
      <alignment horizontal="center" wrapText="1"/>
    </xf>
    <xf numFmtId="43" fontId="0" fillId="17" borderId="0" xfId="0" applyNumberFormat="1" applyFill="1"/>
    <xf numFmtId="0" fontId="0" fillId="16" borderId="0" xfId="0" applyFill="1" applyAlignment="1">
      <alignment wrapText="1"/>
    </xf>
    <xf numFmtId="170" fontId="0" fillId="16" borderId="0" xfId="0" applyNumberFormat="1" applyFill="1"/>
    <xf numFmtId="0" fontId="0" fillId="16" borderId="0" xfId="0" applyFill="1" applyAlignment="1">
      <alignment horizontal="center" wrapText="1"/>
    </xf>
    <xf numFmtId="43" fontId="0" fillId="16" borderId="0" xfId="0" applyNumberFormat="1" applyFill="1"/>
    <xf numFmtId="0" fontId="0" fillId="19" borderId="0" xfId="0" quotePrefix="1" applyNumberFormat="1" applyFill="1"/>
    <xf numFmtId="0" fontId="0" fillId="19" borderId="0" xfId="0" applyFill="1"/>
    <xf numFmtId="1" fontId="0" fillId="19" borderId="0" xfId="0" applyNumberFormat="1" applyFill="1"/>
    <xf numFmtId="166" fontId="0" fillId="19" borderId="0" xfId="1" applyNumberFormat="1" applyFont="1" applyFill="1"/>
    <xf numFmtId="170" fontId="0" fillId="19" borderId="0" xfId="0" applyNumberFormat="1" applyFill="1"/>
    <xf numFmtId="43" fontId="0" fillId="19" borderId="0" xfId="0" applyNumberFormat="1" applyFill="1"/>
    <xf numFmtId="9" fontId="0" fillId="19" borderId="0" xfId="0" applyNumberFormat="1" applyFill="1"/>
    <xf numFmtId="177" fontId="0" fillId="0" borderId="0" xfId="0" applyNumberFormat="1" applyFill="1"/>
    <xf numFmtId="0" fontId="0" fillId="0" borderId="0" xfId="3" applyNumberFormat="1" applyFont="1"/>
    <xf numFmtId="1" fontId="0" fillId="0" borderId="0" xfId="3" applyNumberFormat="1" applyFont="1"/>
    <xf numFmtId="43" fontId="0" fillId="0" borderId="0" xfId="0" quotePrefix="1" applyNumberFormat="1"/>
    <xf numFmtId="173" fontId="0" fillId="0" borderId="0" xfId="0" applyNumberFormat="1"/>
    <xf numFmtId="0" fontId="3" fillId="0" borderId="0" xfId="0" applyFont="1" applyAlignment="1">
      <alignment horizontal="center"/>
    </xf>
    <xf numFmtId="0" fontId="3"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15" xfId="0" applyBorder="1"/>
    <xf numFmtId="0" fontId="0" fillId="11" borderId="15" xfId="0" applyFill="1" applyBorder="1"/>
    <xf numFmtId="9" fontId="0" fillId="0" borderId="15" xfId="0" applyNumberFormat="1" applyBorder="1"/>
    <xf numFmtId="0" fontId="0" fillId="0" borderId="17" xfId="0" applyBorder="1"/>
    <xf numFmtId="0" fontId="0" fillId="11" borderId="17" xfId="0" applyFill="1" applyBorder="1"/>
    <xf numFmtId="0" fontId="0" fillId="0" borderId="27" xfId="0" applyBorder="1"/>
    <xf numFmtId="0" fontId="0" fillId="0" borderId="28" xfId="0" applyBorder="1"/>
    <xf numFmtId="0" fontId="0" fillId="11" borderId="27" xfId="0" applyFill="1" applyBorder="1"/>
    <xf numFmtId="0" fontId="0" fillId="0" borderId="30" xfId="0" applyBorder="1"/>
    <xf numFmtId="0" fontId="0" fillId="0" borderId="0" xfId="0" applyAlignment="1">
      <alignment horizontal="center" wrapText="1"/>
    </xf>
    <xf numFmtId="0" fontId="0" fillId="20" borderId="0" xfId="0" applyFill="1" applyBorder="1" applyAlignment="1">
      <alignment wrapText="1"/>
    </xf>
    <xf numFmtId="0" fontId="0" fillId="20" borderId="0" xfId="0" applyFill="1" applyBorder="1" applyAlignment="1">
      <alignment horizontal="center" vertical="center"/>
    </xf>
    <xf numFmtId="0" fontId="0" fillId="20" borderId="0" xfId="0" applyFill="1" applyBorder="1"/>
    <xf numFmtId="0" fontId="3" fillId="0" borderId="0" xfId="0" applyFont="1" applyAlignment="1"/>
    <xf numFmtId="3" fontId="3" fillId="0" borderId="0" xfId="0" applyNumberFormat="1" applyFont="1" applyAlignment="1"/>
    <xf numFmtId="3" fontId="0" fillId="0" borderId="0" xfId="0" applyNumberFormat="1" applyFill="1" applyBorder="1" applyAlignment="1">
      <alignment horizontal="center" wrapText="1"/>
    </xf>
    <xf numFmtId="164" fontId="0" fillId="0" borderId="0" xfId="3" applyNumberFormat="1" applyFont="1" applyAlignment="1">
      <alignment horizontal="center"/>
    </xf>
    <xf numFmtId="0" fontId="0" fillId="4" borderId="0" xfId="0" applyFill="1" applyAlignment="1">
      <alignment horizontal="center"/>
    </xf>
    <xf numFmtId="10" fontId="0" fillId="4" borderId="0" xfId="3" applyNumberFormat="1" applyFont="1" applyFill="1" applyAlignment="1">
      <alignment horizontal="center"/>
    </xf>
    <xf numFmtId="10" fontId="0" fillId="3" borderId="0" xfId="3" applyNumberFormat="1" applyFont="1" applyFill="1" applyAlignment="1">
      <alignment horizontal="center"/>
    </xf>
    <xf numFmtId="9" fontId="0" fillId="0" borderId="0" xfId="3" applyFont="1" applyAlignment="1">
      <alignment horizontal="center"/>
    </xf>
    <xf numFmtId="0" fontId="0" fillId="4" borderId="0" xfId="0" applyFill="1" applyAlignment="1">
      <alignment horizontal="center" wrapText="1"/>
    </xf>
    <xf numFmtId="0" fontId="3" fillId="4" borderId="0" xfId="0" applyFont="1" applyFill="1" applyAlignment="1">
      <alignment horizontal="center" wrapText="1"/>
    </xf>
    <xf numFmtId="164" fontId="0" fillId="4" borderId="0" xfId="3" applyNumberFormat="1" applyFont="1" applyFill="1" applyAlignment="1">
      <alignment horizontal="center"/>
    </xf>
    <xf numFmtId="9" fontId="0" fillId="4" borderId="0" xfId="3" applyFont="1" applyFill="1"/>
    <xf numFmtId="0" fontId="10" fillId="7" borderId="17" xfId="0" applyFont="1" applyFill="1" applyBorder="1" applyAlignment="1">
      <alignment horizontal="center" vertical="center" wrapText="1"/>
    </xf>
    <xf numFmtId="0" fontId="0" fillId="0" borderId="0" xfId="0" applyAlignment="1">
      <alignment horizontal="center" wrapText="1"/>
    </xf>
    <xf numFmtId="0" fontId="10" fillId="0" borderId="0" xfId="0" applyFont="1" applyAlignment="1">
      <alignment horizontal="center"/>
    </xf>
    <xf numFmtId="10" fontId="10" fillId="0" borderId="0" xfId="0" applyNumberFormat="1" applyFont="1" applyAlignment="1">
      <alignment horizontal="center"/>
    </xf>
    <xf numFmtId="0" fontId="10" fillId="0" borderId="0" xfId="0" applyFont="1" applyAlignment="1">
      <alignment horizontal="center" vertical="center"/>
    </xf>
    <xf numFmtId="0" fontId="0" fillId="0" borderId="0" xfId="0" applyFont="1" applyAlignment="1">
      <alignment horizontal="left" indent="1"/>
    </xf>
    <xf numFmtId="174" fontId="4" fillId="0" borderId="0" xfId="0" applyNumberFormat="1" applyFont="1" applyFill="1" applyAlignment="1">
      <alignment horizontal="left"/>
    </xf>
    <xf numFmtId="174" fontId="4" fillId="0" borderId="0" xfId="0" applyNumberFormat="1" applyFont="1" applyFill="1"/>
    <xf numFmtId="0" fontId="0" fillId="22" borderId="0" xfId="0" applyFill="1" applyBorder="1"/>
    <xf numFmtId="0" fontId="0" fillId="22" borderId="0" xfId="0" applyFill="1" applyBorder="1" applyAlignment="1">
      <alignment horizontal="center" wrapText="1"/>
    </xf>
    <xf numFmtId="0" fontId="0" fillId="11" borderId="0" xfId="0" applyFont="1" applyFill="1" applyBorder="1"/>
    <xf numFmtId="0" fontId="3" fillId="22" borderId="0" xfId="0" applyFont="1" applyFill="1" applyBorder="1" applyAlignment="1">
      <alignment horizontal="center" wrapText="1"/>
    </xf>
    <xf numFmtId="0" fontId="4" fillId="22" borderId="15" xfId="0" applyFont="1" applyFill="1" applyBorder="1" applyAlignment="1">
      <alignment horizontal="center" vertical="center" wrapText="1"/>
    </xf>
    <xf numFmtId="3" fontId="4" fillId="22" borderId="0" xfId="0" applyNumberFormat="1" applyFont="1" applyFill="1" applyBorder="1" applyAlignment="1">
      <alignment horizontal="center" vertical="center" wrapText="1"/>
    </xf>
    <xf numFmtId="0" fontId="3" fillId="3" borderId="0" xfId="0" applyFont="1" applyFill="1" applyAlignment="1"/>
    <xf numFmtId="3" fontId="3" fillId="3" borderId="0" xfId="0" applyNumberFormat="1" applyFont="1" applyFill="1" applyAlignment="1"/>
    <xf numFmtId="0" fontId="0" fillId="3" borderId="0" xfId="0" applyFill="1" applyAlignment="1">
      <alignment horizontal="center" wrapText="1"/>
    </xf>
    <xf numFmtId="3" fontId="0" fillId="3" borderId="0" xfId="0" applyNumberFormat="1" applyFill="1" applyBorder="1" applyAlignment="1">
      <alignment horizontal="center" wrapText="1"/>
    </xf>
    <xf numFmtId="3" fontId="0" fillId="3" borderId="0" xfId="0" applyNumberFormat="1" applyFill="1" applyBorder="1" applyAlignment="1">
      <alignment horizontal="center"/>
    </xf>
    <xf numFmtId="164" fontId="0" fillId="3" borderId="0" xfId="0" applyNumberFormat="1" applyFill="1" applyAlignment="1">
      <alignment horizontal="center"/>
    </xf>
    <xf numFmtId="3" fontId="0" fillId="3" borderId="0" xfId="0" applyNumberFormat="1" applyFill="1" applyAlignment="1">
      <alignment horizontal="center"/>
    </xf>
    <xf numFmtId="3" fontId="0" fillId="3" borderId="0" xfId="0" applyNumberFormat="1" applyFill="1"/>
    <xf numFmtId="0" fontId="0" fillId="0" borderId="0" xfId="0" applyAlignment="1">
      <alignment horizontal="center" wrapText="1"/>
    </xf>
    <xf numFmtId="0" fontId="3" fillId="0" borderId="0" xfId="0" applyFont="1" applyFill="1" applyAlignment="1">
      <alignment horizontal="center"/>
    </xf>
    <xf numFmtId="0" fontId="5" fillId="0" borderId="0" xfId="0" applyFont="1"/>
    <xf numFmtId="4" fontId="5" fillId="0" borderId="18"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5" fillId="0" borderId="0" xfId="0" applyFont="1" applyAlignment="1">
      <alignment horizontal="center"/>
    </xf>
    <xf numFmtId="0" fontId="5" fillId="5" borderId="0" xfId="0" applyFont="1" applyFill="1"/>
    <xf numFmtId="0" fontId="5" fillId="5" borderId="18" xfId="0" applyFont="1" applyFill="1" applyBorder="1" applyAlignment="1">
      <alignment horizontal="center" vertical="center"/>
    </xf>
    <xf numFmtId="10" fontId="5" fillId="0" borderId="18"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5" borderId="15" xfId="0" applyFont="1" applyFill="1" applyBorder="1" applyAlignment="1">
      <alignment horizontal="center" vertical="center" wrapText="1"/>
    </xf>
    <xf numFmtId="174" fontId="5" fillId="0" borderId="0" xfId="0" applyNumberFormat="1" applyFont="1" applyFill="1" applyAlignment="1">
      <alignment horizontal="center"/>
    </xf>
    <xf numFmtId="0" fontId="5" fillId="0" borderId="0" xfId="0" applyFont="1" applyFill="1"/>
    <xf numFmtId="178" fontId="5" fillId="0" borderId="0" xfId="0" applyNumberFormat="1" applyFont="1" applyAlignment="1">
      <alignment horizontal="center"/>
    </xf>
    <xf numFmtId="172" fontId="5" fillId="0" borderId="0" xfId="0" applyNumberFormat="1" applyFont="1" applyAlignment="1">
      <alignment horizontal="center"/>
    </xf>
    <xf numFmtId="4" fontId="5" fillId="0" borderId="0" xfId="0" applyNumberFormat="1" applyFont="1" applyAlignment="1">
      <alignment horizontal="center"/>
    </xf>
    <xf numFmtId="167" fontId="5" fillId="0" borderId="0" xfId="0" applyNumberFormat="1" applyFont="1" applyFill="1" applyAlignment="1">
      <alignment horizontal="center"/>
    </xf>
    <xf numFmtId="167" fontId="5" fillId="5" borderId="0" xfId="0" applyNumberFormat="1" applyFont="1" applyFill="1" applyAlignment="1">
      <alignment horizontal="center"/>
    </xf>
    <xf numFmtId="10" fontId="5" fillId="0" borderId="0" xfId="0" applyNumberFormat="1" applyFont="1" applyFill="1" applyAlignment="1">
      <alignment horizontal="center"/>
    </xf>
    <xf numFmtId="174" fontId="5" fillId="0" borderId="0" xfId="0" quotePrefix="1" applyNumberFormat="1" applyFont="1" applyFill="1" applyAlignment="1">
      <alignment horizontal="left"/>
    </xf>
    <xf numFmtId="174" fontId="5" fillId="0" borderId="0" xfId="0" applyNumberFormat="1" applyFont="1" applyFill="1"/>
    <xf numFmtId="178" fontId="5" fillId="0" borderId="0" xfId="0" applyNumberFormat="1" applyFont="1" applyFill="1" applyAlignment="1">
      <alignment horizontal="center"/>
    </xf>
    <xf numFmtId="174" fontId="5" fillId="0" borderId="0" xfId="0" applyNumberFormat="1" applyFont="1" applyFill="1" applyAlignment="1">
      <alignment horizontal="left"/>
    </xf>
    <xf numFmtId="172" fontId="5" fillId="0" borderId="0" xfId="0" applyNumberFormat="1" applyFont="1" applyFill="1" applyAlignment="1">
      <alignment horizontal="center"/>
    </xf>
    <xf numFmtId="1" fontId="5" fillId="0" borderId="0" xfId="0" applyNumberFormat="1" applyFont="1" applyFill="1" applyAlignment="1">
      <alignment horizontal="center"/>
    </xf>
    <xf numFmtId="0" fontId="5" fillId="0" borderId="0" xfId="0" applyFont="1" applyFill="1" applyAlignment="1">
      <alignment horizontal="center"/>
    </xf>
    <xf numFmtId="0" fontId="5" fillId="5" borderId="0" xfId="0" applyFont="1" applyFill="1" applyAlignment="1">
      <alignment horizontal="center"/>
    </xf>
    <xf numFmtId="0" fontId="23" fillId="0" borderId="0" xfId="0" applyFont="1" applyFill="1"/>
    <xf numFmtId="4" fontId="23" fillId="0" borderId="0" xfId="0" applyNumberFormat="1" applyFont="1" applyFill="1" applyAlignment="1">
      <alignment horizontal="center"/>
    </xf>
    <xf numFmtId="172" fontId="23" fillId="0" borderId="0" xfId="0" applyNumberFormat="1" applyFont="1" applyFill="1" applyAlignment="1">
      <alignment horizontal="center"/>
    </xf>
    <xf numFmtId="0" fontId="23" fillId="0" borderId="0" xfId="0" applyFont="1" applyFill="1" applyAlignment="1">
      <alignment horizontal="center"/>
    </xf>
    <xf numFmtId="0" fontId="0" fillId="11" borderId="0" xfId="0" applyFill="1"/>
    <xf numFmtId="0" fontId="3" fillId="0" borderId="0" xfId="0" applyFont="1" applyAlignment="1">
      <alignment horizontal="center"/>
    </xf>
    <xf numFmtId="0" fontId="0" fillId="0" borderId="0" xfId="0" applyFont="1" applyBorder="1"/>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wrapText="1"/>
    </xf>
    <xf numFmtId="164" fontId="0" fillId="12" borderId="15" xfId="0" applyNumberFormat="1" applyFont="1" applyFill="1" applyBorder="1" applyAlignment="1">
      <alignment horizontal="center"/>
    </xf>
    <xf numFmtId="0" fontId="0" fillId="0" borderId="0" xfId="0" applyFont="1" applyBorder="1" applyAlignment="1">
      <alignment horizontal="right"/>
    </xf>
    <xf numFmtId="10" fontId="0" fillId="0" borderId="15"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4" borderId="0" xfId="0" applyNumberFormat="1" applyFont="1" applyFill="1" applyBorder="1" applyAlignment="1">
      <alignment horizontal="center"/>
    </xf>
    <xf numFmtId="169" fontId="0" fillId="0" borderId="0" xfId="0" applyNumberFormat="1" applyFont="1" applyAlignment="1">
      <alignment horizontal="center"/>
    </xf>
    <xf numFmtId="0" fontId="0" fillId="0" borderId="0" xfId="0" applyFont="1"/>
    <xf numFmtId="0" fontId="1" fillId="0" borderId="0" xfId="0" applyFont="1" applyAlignment="1">
      <alignment horizontal="right"/>
    </xf>
    <xf numFmtId="164" fontId="0" fillId="0" borderId="15" xfId="0" applyNumberFormat="1" applyFont="1" applyBorder="1" applyAlignment="1">
      <alignment horizontal="center"/>
    </xf>
    <xf numFmtId="5" fontId="0" fillId="0" borderId="15" xfId="0" applyNumberFormat="1" applyFont="1" applyBorder="1" applyAlignment="1">
      <alignment horizontal="center"/>
    </xf>
    <xf numFmtId="164" fontId="0" fillId="0" borderId="19" xfId="0" applyNumberFormat="1" applyFont="1" applyBorder="1" applyAlignment="1">
      <alignment horizontal="center"/>
    </xf>
    <xf numFmtId="5" fontId="0" fillId="0" borderId="19" xfId="0" applyNumberFormat="1" applyFont="1" applyBorder="1" applyAlignment="1">
      <alignment horizontal="center"/>
    </xf>
    <xf numFmtId="5" fontId="8" fillId="23" borderId="20" xfId="0" applyNumberFormat="1" applyFont="1" applyFill="1" applyBorder="1" applyAlignment="1">
      <alignment horizontal="center"/>
    </xf>
    <xf numFmtId="0" fontId="3" fillId="0" borderId="0" xfId="4" applyNumberFormat="1" applyFont="1" applyAlignment="1">
      <alignment horizontal="center" vertical="center"/>
    </xf>
    <xf numFmtId="168" fontId="8" fillId="0" borderId="0" xfId="4" applyNumberFormat="1" applyFont="1" applyAlignment="1">
      <alignment horizontal="center" vertical="center"/>
    </xf>
    <xf numFmtId="167" fontId="0" fillId="0" borderId="15" xfId="0" applyNumberFormat="1" applyFont="1" applyBorder="1" applyAlignment="1">
      <alignment horizontal="center"/>
    </xf>
    <xf numFmtId="0" fontId="24" fillId="0" borderId="0" xfId="0" applyFont="1" applyFill="1" applyAlignment="1">
      <alignment wrapText="1"/>
    </xf>
    <xf numFmtId="0" fontId="25" fillId="0" borderId="20" xfId="0" applyFont="1" applyFill="1" applyBorder="1" applyAlignment="1">
      <alignment horizontal="center"/>
    </xf>
    <xf numFmtId="164" fontId="3" fillId="0" borderId="20" xfId="0" applyNumberFormat="1" applyFont="1" applyBorder="1" applyAlignment="1">
      <alignment horizontal="center"/>
    </xf>
    <xf numFmtId="164" fontId="3" fillId="12" borderId="20" xfId="0" applyNumberFormat="1" applyFont="1" applyFill="1" applyBorder="1" applyAlignment="1">
      <alignment horizontal="center"/>
    </xf>
    <xf numFmtId="164" fontId="3" fillId="0" borderId="21" xfId="0" applyNumberFormat="1" applyFont="1" applyBorder="1" applyAlignment="1">
      <alignment horizontal="center"/>
    </xf>
    <xf numFmtId="0" fontId="0" fillId="0" borderId="0" xfId="0" applyFont="1" applyAlignment="1">
      <alignment horizontal="center"/>
    </xf>
    <xf numFmtId="0" fontId="25" fillId="24" borderId="0" xfId="0" applyFont="1" applyFill="1" applyBorder="1" applyAlignment="1">
      <alignment horizontal="center" vertical="center"/>
    </xf>
    <xf numFmtId="0" fontId="3" fillId="24" borderId="0" xfId="0" applyFont="1" applyFill="1" applyBorder="1" applyAlignment="1">
      <alignment horizontal="center" vertical="center"/>
    </xf>
    <xf numFmtId="0" fontId="0" fillId="24" borderId="0" xfId="0" applyFont="1" applyFill="1"/>
    <xf numFmtId="0" fontId="3" fillId="24" borderId="0" xfId="0" applyFont="1" applyFill="1" applyAlignment="1">
      <alignment horizontal="center" vertical="center"/>
    </xf>
    <xf numFmtId="164" fontId="3" fillId="24" borderId="20" xfId="0" applyNumberFormat="1" applyFont="1" applyFill="1" applyBorder="1" applyAlignment="1">
      <alignment horizontal="center"/>
    </xf>
    <xf numFmtId="0" fontId="3" fillId="24" borderId="20" xfId="0" applyFont="1" applyFill="1" applyBorder="1" applyAlignment="1">
      <alignment horizontal="center"/>
    </xf>
    <xf numFmtId="0" fontId="0" fillId="24" borderId="22" xfId="0" applyFont="1" applyFill="1" applyBorder="1" applyAlignment="1">
      <alignment horizontal="center"/>
    </xf>
    <xf numFmtId="10" fontId="0" fillId="24" borderId="23" xfId="0" applyNumberFormat="1" applyFont="1" applyFill="1" applyBorder="1" applyAlignment="1">
      <alignment horizontal="center"/>
    </xf>
    <xf numFmtId="0" fontId="9" fillId="13" borderId="26" xfId="0" applyFont="1" applyFill="1" applyBorder="1" applyAlignment="1">
      <alignment horizontal="left"/>
    </xf>
    <xf numFmtId="0" fontId="9" fillId="8" borderId="13" xfId="0" applyFont="1" applyFill="1" applyBorder="1" applyAlignment="1">
      <alignment horizontal="left" vertical="center"/>
    </xf>
    <xf numFmtId="0" fontId="9" fillId="8" borderId="14" xfId="0" applyFont="1" applyFill="1" applyBorder="1" applyAlignment="1">
      <alignment horizontal="left" vertical="center"/>
    </xf>
    <xf numFmtId="0" fontId="9" fillId="8" borderId="9" xfId="0" applyFont="1" applyFill="1" applyBorder="1" applyAlignment="1">
      <alignment horizontal="left" vertical="center"/>
    </xf>
    <xf numFmtId="0" fontId="9" fillId="8" borderId="10" xfId="0" applyFont="1" applyFill="1" applyBorder="1" applyAlignment="1">
      <alignment horizontal="left" vertical="center"/>
    </xf>
    <xf numFmtId="0" fontId="9" fillId="8" borderId="7" xfId="0" applyFont="1" applyFill="1" applyBorder="1" applyAlignment="1">
      <alignment vertical="center"/>
    </xf>
    <xf numFmtId="0" fontId="9" fillId="8" borderId="8" xfId="0" applyFont="1" applyFill="1" applyBorder="1" applyAlignment="1">
      <alignment vertical="center"/>
    </xf>
    <xf numFmtId="0" fontId="9" fillId="15" borderId="13" xfId="0" applyFont="1" applyFill="1" applyBorder="1" applyAlignment="1">
      <alignment horizontal="center" vertical="center"/>
    </xf>
    <xf numFmtId="0" fontId="9" fillId="15" borderId="14" xfId="0" applyFont="1" applyFill="1" applyBorder="1" applyAlignment="1">
      <alignment horizontal="center" vertical="center"/>
    </xf>
    <xf numFmtId="0" fontId="9" fillId="8" borderId="9" xfId="0" applyFont="1" applyFill="1" applyBorder="1" applyAlignment="1">
      <alignment vertical="center"/>
    </xf>
    <xf numFmtId="0" fontId="9" fillId="8" borderId="10" xfId="0" applyFont="1" applyFill="1" applyBorder="1" applyAlignment="1">
      <alignment vertical="center"/>
    </xf>
    <xf numFmtId="0" fontId="0" fillId="0" borderId="26" xfId="0" applyBorder="1" applyAlignment="1">
      <alignment horizontal="center"/>
    </xf>
    <xf numFmtId="0" fontId="18" fillId="0" borderId="0" xfId="0" applyFont="1" applyAlignment="1">
      <alignment horizontal="center" vertical="center"/>
    </xf>
    <xf numFmtId="0" fontId="9" fillId="10" borderId="18" xfId="0" applyFont="1" applyFill="1" applyBorder="1" applyAlignment="1">
      <alignment horizontal="left" vertical="center" wrapText="1"/>
    </xf>
    <xf numFmtId="0" fontId="9" fillId="10" borderId="10" xfId="0" applyFont="1" applyFill="1" applyBorder="1" applyAlignment="1">
      <alignment horizontal="left" vertical="center" wrapText="1"/>
    </xf>
    <xf numFmtId="0" fontId="9" fillId="15" borderId="9" xfId="0" applyFont="1" applyFill="1" applyBorder="1" applyAlignment="1">
      <alignment horizontal="center" vertical="center"/>
    </xf>
    <xf numFmtId="0" fontId="9" fillId="15" borderId="10" xfId="0" applyFont="1" applyFill="1" applyBorder="1" applyAlignment="1">
      <alignment horizontal="center" vertical="center"/>
    </xf>
    <xf numFmtId="0" fontId="9" fillId="18" borderId="17" xfId="0" applyFont="1" applyFill="1" applyBorder="1" applyAlignment="1">
      <alignment horizontal="center" vertical="center"/>
    </xf>
    <xf numFmtId="0" fontId="9" fillId="18" borderId="18"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0" xfId="0" applyFont="1" applyFill="1" applyBorder="1" applyAlignment="1">
      <alignment horizontal="center" vertical="center"/>
    </xf>
    <xf numFmtId="0" fontId="0" fillId="21" borderId="18" xfId="0" applyFill="1" applyBorder="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Alignment="1">
      <alignment horizontal="center" wrapText="1"/>
    </xf>
    <xf numFmtId="0" fontId="21" fillId="0" borderId="0" xfId="0" applyFont="1"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0" xfId="0" applyFont="1" applyAlignment="1">
      <alignment horizontal="center" wrapText="1"/>
    </xf>
    <xf numFmtId="0" fontId="3" fillId="0" borderId="0" xfId="0" applyFont="1" applyFill="1" applyAlignment="1">
      <alignment horizontal="center"/>
    </xf>
    <xf numFmtId="0" fontId="20" fillId="11" borderId="29" xfId="0" applyFont="1" applyFill="1" applyBorder="1" applyAlignment="1">
      <alignment horizontal="center" vertical="center" wrapText="1"/>
    </xf>
    <xf numFmtId="0" fontId="20" fillId="11" borderId="27" xfId="0" applyFont="1" applyFill="1" applyBorder="1" applyAlignment="1">
      <alignment horizontal="center" vertical="center" wrapText="1"/>
    </xf>
    <xf numFmtId="0" fontId="3" fillId="0" borderId="26" xfId="0" applyFont="1" applyBorder="1" applyAlignment="1">
      <alignment horizontal="center"/>
    </xf>
  </cellXfs>
  <cellStyles count="5">
    <cellStyle name="Comma" xfId="1" builtinId="3"/>
    <cellStyle name="Currency" xfId="4" builtinId="4"/>
    <cellStyle name="Normal" xfId="0" builtinId="0"/>
    <cellStyle name="Normal 3" xfId="2"/>
    <cellStyle name="Percent" xfId="3" builtinId="5"/>
  </cellStyles>
  <dxfs count="1">
    <dxf>
      <font>
        <color rgb="FF9C0006"/>
      </font>
      <fill>
        <patternFill>
          <bgColor rgb="FFFFC7CE"/>
        </patternFill>
      </fill>
    </dxf>
  </dxfs>
  <tableStyles count="0" defaultTableStyle="TableStyleMedium2" defaultPivotStyle="PivotStyleLight16"/>
  <colors>
    <mruColors>
      <color rgb="FFF9F2D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Session%20Work/January%2017%202019%20Joint%20Hearing/Idaho%20Web%20Ready%20Model%20-%20Dec%2018%20with%20new%20budge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ront page"/>
      <sheetName val="Funding Comparison"/>
      <sheetName val="Budget Estimating Tool"/>
      <sheetName val="Student Enrollment Data"/>
      <sheetName val="Small Dist Weight"/>
      <sheetName val="Remote School Building Weight"/>
      <sheetName val="Large District Weight"/>
      <sheetName val="District Weatlh Adjustment"/>
      <sheetName val="Calculations"/>
      <sheetName val="settings"/>
    </sheetNames>
    <sheetDataSet>
      <sheetData sheetId="0"/>
      <sheetData sheetId="1"/>
      <sheetData sheetId="2"/>
      <sheetData sheetId="3"/>
      <sheetData sheetId="4"/>
      <sheetData sheetId="5"/>
      <sheetData sheetId="6"/>
      <sheetData sheetId="7"/>
      <sheetData sheetId="8"/>
      <sheetData sheetId="9">
        <row r="172">
          <cell r="Y172">
            <v>380457.38595242484</v>
          </cell>
          <cell r="AC172">
            <v>577.58699999999999</v>
          </cell>
        </row>
      </sheetData>
      <sheetData sheetId="10"/>
    </sheetDataSet>
  </externalBook>
</externalLink>
</file>

<file path=xl/theme/theme1.xml><?xml version="1.0" encoding="utf-8"?>
<a:theme xmlns:a="http://schemas.openxmlformats.org/drawingml/2006/main" name="APA">
  <a:themeElements>
    <a:clrScheme name="APA2014">
      <a:dk1>
        <a:sysClr val="windowText" lastClr="000000"/>
      </a:dk1>
      <a:lt1>
        <a:sysClr val="window" lastClr="FFFFFF"/>
      </a:lt1>
      <a:dk2>
        <a:srgbClr val="648C60"/>
      </a:dk2>
      <a:lt2>
        <a:srgbClr val="B9E649"/>
      </a:lt2>
      <a:accent1>
        <a:srgbClr val="648C60"/>
      </a:accent1>
      <a:accent2>
        <a:srgbClr val="8FB08C"/>
      </a:accent2>
      <a:accent3>
        <a:srgbClr val="B9E649"/>
      </a:accent3>
      <a:accent4>
        <a:srgbClr val="646B86"/>
      </a:accent4>
      <a:accent5>
        <a:srgbClr val="A0A5B8"/>
      </a:accent5>
      <a:accent6>
        <a:srgbClr val="8C7B96"/>
      </a:accent6>
      <a:hlink>
        <a:srgbClr val="B9E649"/>
      </a:hlink>
      <a:folHlink>
        <a:srgbClr val="B9E649"/>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zoomScale="90" zoomScaleNormal="90" workbookViewId="0">
      <selection sqref="A1:H1"/>
    </sheetView>
  </sheetViews>
  <sheetFormatPr defaultColWidth="8.85546875" defaultRowHeight="15"/>
  <cols>
    <col min="1" max="1" width="40.42578125" customWidth="1"/>
    <col min="2" max="2" width="26.7109375" customWidth="1"/>
    <col min="3" max="3" width="3.7109375" customWidth="1"/>
    <col min="4" max="4" width="75.42578125" customWidth="1"/>
    <col min="5" max="5" width="25" customWidth="1"/>
    <col min="6" max="6" width="3.42578125" customWidth="1"/>
    <col min="7" max="7" width="41.42578125" customWidth="1"/>
    <col min="8" max="8" width="22.42578125" customWidth="1"/>
  </cols>
  <sheetData>
    <row r="1" spans="1:8" ht="30" customHeight="1" thickBot="1">
      <c r="A1" s="323" t="s">
        <v>606</v>
      </c>
      <c r="B1" s="323"/>
      <c r="C1" s="323"/>
      <c r="D1" s="323"/>
      <c r="E1" s="323"/>
      <c r="F1" s="323"/>
      <c r="G1" s="323"/>
      <c r="H1" s="323"/>
    </row>
    <row r="2" spans="1:8" ht="24.95" customHeight="1">
      <c r="A2" s="122"/>
      <c r="B2" s="122"/>
      <c r="C2" s="47"/>
      <c r="D2" s="138" t="s">
        <v>849</v>
      </c>
      <c r="E2" s="136">
        <f>1633754338+H6</f>
        <v>1633754338</v>
      </c>
      <c r="F2" s="47"/>
      <c r="G2" s="122"/>
      <c r="H2" s="122"/>
    </row>
    <row r="3" spans="1:8" ht="33.950000000000003" customHeight="1" thickBot="1">
      <c r="A3" s="122"/>
      <c r="B3" s="122"/>
      <c r="C3" s="47"/>
      <c r="D3" s="139" t="s">
        <v>560</v>
      </c>
      <c r="E3" s="137">
        <f>E2/Calculations!AA177</f>
        <v>4236.7914700264482</v>
      </c>
      <c r="F3" s="47"/>
      <c r="G3" s="122"/>
      <c r="H3" s="122"/>
    </row>
    <row r="4" spans="1:8" ht="2.25" customHeight="1" thickBot="1">
      <c r="A4" s="123"/>
      <c r="B4" s="124"/>
      <c r="C4" s="47"/>
      <c r="D4" s="122"/>
      <c r="E4" s="122"/>
      <c r="F4" s="47"/>
      <c r="G4" s="122"/>
      <c r="H4" s="122"/>
    </row>
    <row r="5" spans="1:8" ht="32.1" customHeight="1">
      <c r="A5" s="318" t="s">
        <v>557</v>
      </c>
      <c r="B5" s="319"/>
      <c r="C5" s="48"/>
      <c r="D5" s="318" t="s">
        <v>559</v>
      </c>
      <c r="E5" s="319"/>
      <c r="F5" s="48"/>
      <c r="G5" s="326" t="s">
        <v>553</v>
      </c>
      <c r="H5" s="327"/>
    </row>
    <row r="6" spans="1:8" ht="24.95" customHeight="1">
      <c r="A6" s="316" t="s">
        <v>316</v>
      </c>
      <c r="B6" s="317"/>
      <c r="C6" s="47"/>
      <c r="D6" s="140" t="s">
        <v>608</v>
      </c>
      <c r="E6" s="141"/>
      <c r="F6" s="47"/>
      <c r="G6" s="121" t="s">
        <v>569</v>
      </c>
      <c r="H6" s="119">
        <f>'Budget Estimating Tool'!E11</f>
        <v>0</v>
      </c>
    </row>
    <row r="7" spans="1:8" ht="24.95" customHeight="1">
      <c r="A7" s="330" t="str">
        <f>settings!F3</f>
        <v>Enrollment</v>
      </c>
      <c r="B7" s="331"/>
      <c r="C7" s="47"/>
      <c r="D7" s="88" t="s">
        <v>611</v>
      </c>
      <c r="E7" s="50">
        <v>330</v>
      </c>
      <c r="F7" s="47"/>
      <c r="G7" s="120"/>
      <c r="H7" s="120"/>
    </row>
    <row r="8" spans="1:8" ht="24.95" customHeight="1">
      <c r="A8" s="332"/>
      <c r="B8" s="332"/>
      <c r="C8" s="47"/>
      <c r="D8" s="89" t="s">
        <v>612</v>
      </c>
      <c r="E8" s="51">
        <v>870</v>
      </c>
      <c r="F8" s="47"/>
      <c r="G8" s="100" t="s">
        <v>326</v>
      </c>
      <c r="H8" s="100"/>
    </row>
    <row r="9" spans="1:8" ht="24.95" customHeight="1">
      <c r="A9" s="328" t="s">
        <v>601</v>
      </c>
      <c r="B9" s="329"/>
      <c r="C9" s="47"/>
      <c r="D9" s="88" t="s">
        <v>287</v>
      </c>
      <c r="E9" s="50" t="s">
        <v>284</v>
      </c>
      <c r="F9" s="47"/>
      <c r="G9" s="93" t="s">
        <v>327</v>
      </c>
      <c r="H9" s="118" t="s">
        <v>285</v>
      </c>
    </row>
    <row r="10" spans="1:8" ht="36.75" customHeight="1">
      <c r="A10" s="324" t="s">
        <v>572</v>
      </c>
      <c r="B10" s="325"/>
      <c r="C10" s="47"/>
      <c r="D10" s="89" t="s">
        <v>288</v>
      </c>
      <c r="E10" s="51" t="s">
        <v>285</v>
      </c>
      <c r="F10" s="47"/>
      <c r="G10" s="220" t="s">
        <v>622</v>
      </c>
      <c r="H10" s="132">
        <v>7.4999999999999997E-2</v>
      </c>
    </row>
    <row r="11" spans="1:8" ht="26.1" customHeight="1" thickBot="1">
      <c r="A11" s="88" t="s">
        <v>253</v>
      </c>
      <c r="B11" s="149">
        <v>0.1</v>
      </c>
      <c r="C11" s="47"/>
      <c r="D11" s="224" t="s">
        <v>850</v>
      </c>
      <c r="E11" s="222">
        <v>100</v>
      </c>
      <c r="F11" s="47"/>
      <c r="G11" s="222" t="s">
        <v>630</v>
      </c>
      <c r="H11" s="223">
        <v>0.02</v>
      </c>
    </row>
    <row r="12" spans="1:8" ht="18.75">
      <c r="A12" s="322"/>
      <c r="B12" s="322"/>
      <c r="C12" s="47"/>
      <c r="D12" s="98" t="s">
        <v>609</v>
      </c>
      <c r="E12" s="99"/>
      <c r="F12" s="47"/>
      <c r="G12" s="311" t="s">
        <v>851</v>
      </c>
      <c r="H12" s="311"/>
    </row>
    <row r="13" spans="1:8" ht="24.95" customHeight="1">
      <c r="A13" s="320" t="s">
        <v>2</v>
      </c>
      <c r="B13" s="321"/>
      <c r="C13" s="47"/>
      <c r="D13" s="49" t="s">
        <v>436</v>
      </c>
      <c r="E13" s="51" t="s">
        <v>437</v>
      </c>
      <c r="F13" s="47"/>
      <c r="G13" s="125" t="s">
        <v>322</v>
      </c>
      <c r="H13" s="126">
        <f>SUM('Funding Comparison'!T177)</f>
        <v>8750361.1352251507</v>
      </c>
    </row>
    <row r="14" spans="1:8" ht="24.95" customHeight="1">
      <c r="A14" s="142" t="s">
        <v>253</v>
      </c>
      <c r="B14" s="150">
        <v>0.1</v>
      </c>
      <c r="C14" s="47"/>
      <c r="F14" s="47"/>
      <c r="G14" s="131" t="s">
        <v>323</v>
      </c>
      <c r="H14" s="133">
        <f>MAX('Funding Comparison'!T178)</f>
        <v>-20423766.268585268</v>
      </c>
    </row>
    <row r="15" spans="1:8" ht="24.95" customHeight="1">
      <c r="A15" s="114" t="s">
        <v>554</v>
      </c>
      <c r="B15" s="115"/>
      <c r="C15" s="47"/>
      <c r="D15" s="101" t="s">
        <v>610</v>
      </c>
      <c r="E15" s="102"/>
      <c r="F15" s="47"/>
      <c r="G15" s="311" t="s">
        <v>852</v>
      </c>
      <c r="H15" s="311"/>
    </row>
    <row r="16" spans="1:8" ht="24.95" customHeight="1" thickBot="1">
      <c r="A16" s="92" t="s">
        <v>253</v>
      </c>
      <c r="B16" s="151">
        <v>0.02</v>
      </c>
      <c r="C16" s="47"/>
      <c r="D16" s="127" t="s">
        <v>613</v>
      </c>
      <c r="E16" s="128" t="s">
        <v>285</v>
      </c>
      <c r="F16" s="47"/>
      <c r="G16" s="125" t="s">
        <v>624</v>
      </c>
      <c r="H16" s="126">
        <f>SUM('Funding Comparison'!AC178)</f>
        <v>21851008.185970306</v>
      </c>
    </row>
    <row r="17" spans="1:8" ht="24.95" customHeight="1">
      <c r="A17" s="312" t="s">
        <v>3</v>
      </c>
      <c r="B17" s="313"/>
      <c r="C17" s="47"/>
      <c r="D17" s="90" t="s">
        <v>610</v>
      </c>
      <c r="E17" s="116">
        <v>0.02</v>
      </c>
      <c r="F17" s="47"/>
      <c r="G17" s="131" t="s">
        <v>625</v>
      </c>
      <c r="H17" s="133">
        <f>SUM('Funding Comparison'!AD178)</f>
        <v>-7323119.2178401947</v>
      </c>
    </row>
    <row r="18" spans="1:8" ht="24.95" customHeight="1">
      <c r="A18" s="91" t="s">
        <v>253</v>
      </c>
      <c r="B18" s="150">
        <v>0.65</v>
      </c>
      <c r="C18" s="47"/>
      <c r="F18" s="47"/>
      <c r="G18" s="122"/>
      <c r="H18" s="122"/>
    </row>
    <row r="19" spans="1:8" ht="24.95" customHeight="1">
      <c r="A19" s="314" t="s">
        <v>4</v>
      </c>
      <c r="B19" s="315"/>
      <c r="C19" s="47"/>
      <c r="D19" s="97" t="s">
        <v>563</v>
      </c>
      <c r="E19" s="97"/>
      <c r="F19" s="47"/>
      <c r="G19" s="122"/>
      <c r="H19" s="122"/>
    </row>
    <row r="20" spans="1:8" ht="24.95" customHeight="1">
      <c r="A20" s="91" t="s">
        <v>254</v>
      </c>
      <c r="B20" s="150">
        <v>0.1</v>
      </c>
      <c r="C20" s="47"/>
      <c r="D20" s="59" t="s">
        <v>551</v>
      </c>
      <c r="E20" s="117" t="s">
        <v>285</v>
      </c>
      <c r="F20" s="47"/>
      <c r="G20" s="122"/>
      <c r="H20" s="122"/>
    </row>
    <row r="21" spans="1:8" ht="24.95" customHeight="1">
      <c r="A21" s="89" t="s">
        <v>255</v>
      </c>
      <c r="B21" s="152">
        <v>0.1</v>
      </c>
      <c r="C21" s="47"/>
      <c r="D21" s="129" t="s">
        <v>552</v>
      </c>
      <c r="E21" s="130">
        <v>0.1</v>
      </c>
      <c r="F21" s="47"/>
      <c r="G21" s="122"/>
      <c r="H21" s="122"/>
    </row>
    <row r="22" spans="1:8" ht="11.25" customHeight="1">
      <c r="A22" s="28"/>
      <c r="B22" s="28"/>
      <c r="C22" s="47"/>
      <c r="D22" s="97"/>
      <c r="E22" s="97"/>
      <c r="F22" s="47"/>
      <c r="G22" s="28"/>
      <c r="H22" s="28"/>
    </row>
    <row r="23" spans="1:8" ht="24.95" customHeight="1">
      <c r="A23" s="134" t="s">
        <v>555</v>
      </c>
      <c r="C23" s="47"/>
      <c r="D23" s="59" t="s">
        <v>853</v>
      </c>
      <c r="E23" s="117" t="s">
        <v>285</v>
      </c>
      <c r="F23" s="47"/>
    </row>
    <row r="24" spans="1:8" ht="24.95" customHeight="1">
      <c r="C24" s="47"/>
      <c r="D24" s="129" t="s">
        <v>854</v>
      </c>
      <c r="E24" s="130">
        <v>0.05</v>
      </c>
      <c r="F24" s="47"/>
    </row>
    <row r="25" spans="1:8" ht="24.95" customHeight="1">
      <c r="A25" s="135" t="s">
        <v>556</v>
      </c>
      <c r="C25" s="30"/>
      <c r="F25" s="30"/>
    </row>
    <row r="26" spans="1:8" ht="24.95" customHeight="1">
      <c r="A26" t="s">
        <v>558</v>
      </c>
      <c r="C26" s="30"/>
      <c r="F26" s="30"/>
    </row>
    <row r="27" spans="1:8" ht="24.95" customHeight="1">
      <c r="C27" s="87"/>
      <c r="F27" s="87"/>
    </row>
    <row r="28" spans="1:8" ht="24.95" customHeight="1">
      <c r="C28" s="87"/>
      <c r="F28" s="87"/>
    </row>
    <row r="29" spans="1:8">
      <c r="C29" s="87"/>
      <c r="F29" s="87"/>
    </row>
  </sheetData>
  <mergeCells count="15">
    <mergeCell ref="A1:H1"/>
    <mergeCell ref="A5:B5"/>
    <mergeCell ref="A10:B10"/>
    <mergeCell ref="G5:H5"/>
    <mergeCell ref="A9:B9"/>
    <mergeCell ref="A7:B7"/>
    <mergeCell ref="A8:B8"/>
    <mergeCell ref="G15:H15"/>
    <mergeCell ref="A17:B17"/>
    <mergeCell ref="A19:B19"/>
    <mergeCell ref="A6:B6"/>
    <mergeCell ref="D5:E5"/>
    <mergeCell ref="A13:B13"/>
    <mergeCell ref="G12:H12"/>
    <mergeCell ref="A12:B1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DropDown="1" showInputMessage="1" showErrorMessage="1">
          <x14:formula1>
            <xm:f>settings!$A$2</xm:f>
          </x14:formula1>
          <xm:sqref>A10</xm:sqref>
        </x14:dataValidation>
        <x14:dataValidation type="list" allowBlank="1" showInputMessage="1" showErrorMessage="1">
          <x14:formula1>
            <xm:f>settings!$C$2:$C$3</xm:f>
          </x14:formula1>
          <xm:sqref>E9</xm:sqref>
        </x14:dataValidation>
        <x14:dataValidation type="list" allowBlank="1" showInputMessage="1" showErrorMessage="1">
          <x14:formula1>
            <xm:f>settings!$C$5:$C$6</xm:f>
          </x14:formula1>
          <xm:sqref>E10</xm:sqref>
        </x14:dataValidation>
        <x14:dataValidation type="list" allowBlank="1" showDropDown="1" showInputMessage="1" showErrorMessage="1">
          <x14:formula1>
            <xm:f>settings!$F$3:$F$3</xm:f>
          </x14:formula1>
          <xm:sqref>A7</xm:sqref>
        </x14:dataValidation>
        <x14:dataValidation type="list" allowBlank="1" showInputMessage="1" showErrorMessage="1">
          <x14:formula1>
            <xm:f>settings!$I$2:$I$3</xm:f>
          </x14:formula1>
          <xm:sqref>H9</xm:sqref>
        </x14:dataValidation>
        <x14:dataValidation type="list" allowBlank="1" showInputMessage="1" showErrorMessage="1">
          <x14:formula1>
            <xm:f>settings!$K$2:$K$3</xm:f>
          </x14:formula1>
          <xm:sqref>E13</xm:sqref>
        </x14:dataValidation>
        <x14:dataValidation type="list" allowBlank="1" showInputMessage="1" showErrorMessage="1">
          <x14:formula1>
            <xm:f>settings!$N$2:$N$3</xm:f>
          </x14:formula1>
          <xm:sqref>E16</xm:sqref>
        </x14:dataValidation>
        <x14:dataValidation type="list" allowBlank="1" showInputMessage="1" showErrorMessage="1">
          <x14:formula1>
            <xm:f>settings!$A$11:$A$12</xm:f>
          </x14:formula1>
          <xm:sqref>E20</xm:sqref>
        </x14:dataValidation>
        <x14:dataValidation type="list" allowBlank="1" showInputMessage="1" showErrorMessage="1">
          <x14:formula1>
            <xm:f>settings!$E$11:$E$12</xm:f>
          </x14:formula1>
          <xm:sqref>E23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182"/>
  <sheetViews>
    <sheetView zoomScale="120" zoomScaleNormal="120" workbookViewId="0">
      <pane xSplit="3" ySplit="2" topLeftCell="D3" activePane="bottomRight" state="frozen"/>
      <selection pane="topRight" activeCell="C1" sqref="C1"/>
      <selection pane="bottomLeft" activeCell="A4" sqref="A4"/>
      <selection pane="bottomRight" activeCell="A2" sqref="A2"/>
    </sheetView>
  </sheetViews>
  <sheetFormatPr defaultColWidth="8.85546875" defaultRowHeight="15"/>
  <cols>
    <col min="1" max="1" width="15.140625" bestFit="1" customWidth="1"/>
    <col min="2" max="2" width="15.140625" customWidth="1"/>
    <col min="3" max="3" width="53.42578125" customWidth="1"/>
    <col min="4" max="4" width="9.85546875" bestFit="1" customWidth="1"/>
    <col min="7" max="7" width="10.140625" customWidth="1"/>
    <col min="9" max="9" width="10.85546875" customWidth="1"/>
    <col min="12" max="12" width="4.42578125" style="28" customWidth="1"/>
    <col min="13" max="22" width="11" style="30" customWidth="1"/>
    <col min="23" max="26" width="11.42578125" customWidth="1"/>
    <col min="27" max="27" width="9.42578125" customWidth="1"/>
    <col min="28" max="28" width="4.42578125" style="28" customWidth="1"/>
    <col min="29" max="30" width="11.85546875" customWidth="1"/>
    <col min="31" max="31" width="13.140625" bestFit="1" customWidth="1"/>
    <col min="33" max="33" width="15.85546875" bestFit="1" customWidth="1"/>
    <col min="34" max="35" width="14" bestFit="1" customWidth="1"/>
    <col min="36" max="37" width="14.42578125" bestFit="1" customWidth="1"/>
    <col min="38" max="38" width="13.42578125" bestFit="1" customWidth="1"/>
    <col min="39" max="40" width="13.42578125" customWidth="1"/>
    <col min="41" max="41" width="14.42578125" bestFit="1" customWidth="1"/>
    <col min="42" max="42" width="13.85546875" bestFit="1" customWidth="1"/>
    <col min="43" max="44" width="13.85546875" customWidth="1"/>
    <col min="45" max="45" width="15.42578125" bestFit="1" customWidth="1"/>
    <col min="46" max="46" width="14.85546875" bestFit="1" customWidth="1"/>
  </cols>
  <sheetData>
    <row r="1" spans="1:46">
      <c r="D1" s="333" t="s">
        <v>245</v>
      </c>
      <c r="E1" s="333"/>
      <c r="F1" s="333"/>
      <c r="G1" s="333"/>
      <c r="H1" s="333"/>
      <c r="I1" s="333"/>
      <c r="J1" s="333"/>
      <c r="K1" s="94"/>
      <c r="L1" s="32"/>
      <c r="M1" s="340" t="s">
        <v>246</v>
      </c>
      <c r="N1" s="340"/>
      <c r="O1" s="340"/>
      <c r="P1" s="340"/>
      <c r="Q1" s="340"/>
      <c r="R1" s="340"/>
      <c r="S1" s="340"/>
      <c r="T1" s="340"/>
      <c r="U1" s="340"/>
      <c r="V1" s="340"/>
      <c r="W1" s="340"/>
      <c r="X1" s="82"/>
      <c r="Y1" s="243"/>
      <c r="Z1" s="243"/>
      <c r="AC1" s="339" t="s">
        <v>243</v>
      </c>
      <c r="AD1" s="339"/>
      <c r="AE1" s="339"/>
    </row>
    <row r="2" spans="1:46" ht="60">
      <c r="A2" s="9" t="s">
        <v>180</v>
      </c>
      <c r="B2" s="10" t="s">
        <v>181</v>
      </c>
      <c r="C2" s="10" t="s">
        <v>182</v>
      </c>
      <c r="D2" s="1" t="s">
        <v>8</v>
      </c>
      <c r="E2" s="1" t="s">
        <v>7</v>
      </c>
      <c r="F2" s="4" t="s">
        <v>9</v>
      </c>
      <c r="G2" s="3" t="s">
        <v>3</v>
      </c>
      <c r="H2" t="s">
        <v>10</v>
      </c>
      <c r="I2" s="3" t="s">
        <v>241</v>
      </c>
      <c r="J2" t="s">
        <v>5</v>
      </c>
      <c r="K2" t="s">
        <v>6</v>
      </c>
      <c r="M2" s="33" t="s">
        <v>247</v>
      </c>
      <c r="N2" s="33" t="s">
        <v>248</v>
      </c>
      <c r="O2" s="34" t="s">
        <v>9</v>
      </c>
      <c r="P2" s="33" t="s">
        <v>3</v>
      </c>
      <c r="Q2" s="33" t="s">
        <v>0</v>
      </c>
      <c r="R2" s="33" t="s">
        <v>328</v>
      </c>
      <c r="S2" s="33" t="s">
        <v>5</v>
      </c>
      <c r="T2" s="33" t="s">
        <v>445</v>
      </c>
      <c r="U2" s="33" t="s">
        <v>446</v>
      </c>
      <c r="V2" s="192" t="s">
        <v>607</v>
      </c>
      <c r="W2" s="3" t="s">
        <v>439</v>
      </c>
      <c r="X2" s="83" t="s">
        <v>440</v>
      </c>
      <c r="Y2" s="242" t="s">
        <v>834</v>
      </c>
      <c r="Z2" s="242" t="s">
        <v>833</v>
      </c>
      <c r="AA2" s="3" t="s">
        <v>11</v>
      </c>
      <c r="AB2" s="29"/>
      <c r="AC2" t="s">
        <v>244</v>
      </c>
      <c r="AD2" s="3" t="s">
        <v>256</v>
      </c>
      <c r="AE2" t="s">
        <v>249</v>
      </c>
      <c r="AG2" s="8" t="s">
        <v>317</v>
      </c>
      <c r="AH2" s="8" t="s">
        <v>7</v>
      </c>
      <c r="AI2" s="4" t="s">
        <v>9</v>
      </c>
      <c r="AJ2" s="44" t="s">
        <v>3</v>
      </c>
      <c r="AK2" s="8" t="s">
        <v>0</v>
      </c>
      <c r="AL2" s="8" t="s">
        <v>5</v>
      </c>
      <c r="AM2" s="242" t="s">
        <v>837</v>
      </c>
      <c r="AN2" s="96" t="s">
        <v>6</v>
      </c>
      <c r="AO2" s="95" t="s">
        <v>602</v>
      </c>
      <c r="AP2" s="44" t="s">
        <v>242</v>
      </c>
      <c r="AQ2" s="85" t="s">
        <v>607</v>
      </c>
      <c r="AR2" s="85" t="s">
        <v>444</v>
      </c>
      <c r="AS2" s="43" t="s">
        <v>250</v>
      </c>
      <c r="AT2" s="54" t="s">
        <v>325</v>
      </c>
    </row>
    <row r="3" spans="1:46">
      <c r="A3" t="str">
        <f t="shared" ref="A3:A66" si="0">RIGHT(C3,3)</f>
        <v>001</v>
      </c>
      <c r="B3">
        <f>A3*1</f>
        <v>1</v>
      </c>
      <c r="C3" s="15" t="s">
        <v>12</v>
      </c>
      <c r="D3">
        <f>IF(settings!$G$4=0,'Student Enrollment Data'!AX4,'Student Enrollment Data'!CK4)</f>
        <v>24454.5</v>
      </c>
      <c r="E3">
        <f>IF(settings!$G$4=0,'Student Enrollment Data'!AY4,'Student Enrollment Data'!CL4)</f>
        <v>6056.5</v>
      </c>
      <c r="F3">
        <f>IF(settings!$G$4=0,'Student Enrollment Data'!AZ4,'Student Enrollment Data'!CM4)</f>
        <v>8247</v>
      </c>
      <c r="G3" s="25">
        <f>'Student Enrollment Data'!BK4</f>
        <v>3105</v>
      </c>
      <c r="H3">
        <f>'Student Enrollment Data'!BF4</f>
        <v>12416</v>
      </c>
      <c r="I3">
        <f>SUM('Student Enrollment Data'!R4:X4,'Student Enrollment Data'!AQ4:AW4)</f>
        <v>763.30381837130994</v>
      </c>
      <c r="J3">
        <f>'Student Enrollment Data'!BS4</f>
        <v>2853</v>
      </c>
      <c r="K3">
        <f>M3*0.1</f>
        <v>2445.4500000000003</v>
      </c>
      <c r="M3" s="30">
        <f t="shared" ref="M3:M34" si="1">MAX(D3,30)</f>
        <v>24454.5</v>
      </c>
      <c r="N3" s="30">
        <f>E3*'Front page'!$B$20</f>
        <v>605.65</v>
      </c>
      <c r="O3" s="30">
        <f>F3*'Front page'!$B$21</f>
        <v>824.7</v>
      </c>
      <c r="P3">
        <f>G3*'Front page'!$B$18</f>
        <v>2018.25</v>
      </c>
      <c r="Q3" s="30">
        <f>IF(settings!$B$4=0,Calculations!H3,Calculations!I3) *'Front page'!$B$11</f>
        <v>1241.6000000000001</v>
      </c>
      <c r="R3" s="31">
        <f>ROUND(I3*'Front page'!$B$9,2)</f>
        <v>0</v>
      </c>
      <c r="S3" s="30">
        <f>J3*'Front page'!$B$14</f>
        <v>285.3</v>
      </c>
      <c r="T3" s="103">
        <f>'Front page'!$B$16*Calculations!K3</f>
        <v>48.909000000000006</v>
      </c>
      <c r="U3" s="103">
        <f>IF(settings!$B$13=0,(Calculations!M3*'District Wealth Adjustment'!M2)-Calculations!M3,0)</f>
        <v>0</v>
      </c>
      <c r="V3" s="185">
        <f>VLOOKUP(B3,'Remote School Building Weight'!$M$2:$P$174,3,FALSE)</f>
        <v>0</v>
      </c>
      <c r="W3" s="25">
        <f>'Small Dist Weight'!V2-Calculations!D3</f>
        <v>0</v>
      </c>
      <c r="X3" s="25">
        <f>IF(settings!$P$9=0,'Large District Weight'!H2*'Large District Weight'!G2,0)</f>
        <v>489.09000000000003</v>
      </c>
      <c r="Y3" s="25">
        <f>SUM(M3:X3)</f>
        <v>29967.999</v>
      </c>
      <c r="Z3" s="25">
        <f>IF(settings!$F$13=0,'Teacher Exp'!L3,0)</f>
        <v>734.46383604872653</v>
      </c>
      <c r="AA3" s="25">
        <f>Y3+Z3</f>
        <v>30702.462836048726</v>
      </c>
      <c r="AC3" s="26">
        <f>'Student Enrollment Data'!BU4</f>
        <v>3842</v>
      </c>
      <c r="AD3" s="26">
        <f>M3*0.1</f>
        <v>2445.4500000000003</v>
      </c>
      <c r="AE3" s="26">
        <f>AD3*'Front page'!$B$16</f>
        <v>48.909000000000006</v>
      </c>
      <c r="AG3" s="6">
        <f>M3*'Front page'!$E$3</f>
        <v>103608617.00376178</v>
      </c>
      <c r="AH3" s="6">
        <f>N3*'Front page'!$E$3</f>
        <v>2566012.7538215183</v>
      </c>
      <c r="AI3" s="6">
        <f>O3*'Front page'!$E$3</f>
        <v>3494081.9253308121</v>
      </c>
      <c r="AJ3" s="6">
        <f>P3*'Front page'!$E$3</f>
        <v>8550904.3843808789</v>
      </c>
      <c r="AK3" s="6">
        <f>Q3*'Front page'!$E$3</f>
        <v>5260400.2891848385</v>
      </c>
      <c r="AL3" s="6">
        <f>S3*'Front page'!$E$3</f>
        <v>1208756.6063985457</v>
      </c>
      <c r="AM3" s="5">
        <f>Z3*'Front page'!$E$3</f>
        <v>3111770.1156141483</v>
      </c>
      <c r="AN3" s="6">
        <f>T3*'Front page'!$E$3</f>
        <v>207217.23400752357</v>
      </c>
      <c r="AO3" s="6">
        <f>U3*'Front page'!$E$3</f>
        <v>0</v>
      </c>
      <c r="AP3" s="6">
        <f>W3*'Front page'!$E$3</f>
        <v>0</v>
      </c>
      <c r="AQ3" s="6">
        <f>V3*'Front page'!$E$3</f>
        <v>0</v>
      </c>
      <c r="AR3" s="6">
        <f>X3*'Front page'!$E$3</f>
        <v>2072172.3400752356</v>
      </c>
      <c r="AS3" s="6">
        <f>SUM(AG3:AR3)</f>
        <v>130079932.6525753</v>
      </c>
      <c r="AT3" s="7">
        <f>IF(AS3&gt;'Funding Comparison'!D3*(1+'Front page'!$H$10),'Funding Comparison'!D3*(1+'Front page'!$H$10),AS3)</f>
        <v>130079932.6525753</v>
      </c>
    </row>
    <row r="4" spans="1:46">
      <c r="A4" t="str">
        <f t="shared" si="0"/>
        <v>002</v>
      </c>
      <c r="B4">
        <f t="shared" ref="B4:B67" si="2">A4*1</f>
        <v>2</v>
      </c>
      <c r="C4" s="15" t="s">
        <v>13</v>
      </c>
      <c r="D4">
        <f>IF(settings!$G$4=0,'Student Enrollment Data'!AX5,'Student Enrollment Data'!CK5)</f>
        <v>37815</v>
      </c>
      <c r="E4">
        <f>IF(settings!$G$4=0,'Student Enrollment Data'!AY5,'Student Enrollment Data'!CL5)</f>
        <v>9828</v>
      </c>
      <c r="F4">
        <f>IF(settings!$G$4=0,'Student Enrollment Data'!AZ5,'Student Enrollment Data'!CM5)</f>
        <v>12118</v>
      </c>
      <c r="G4" s="25">
        <f>'Student Enrollment Data'!BK5</f>
        <v>4001</v>
      </c>
      <c r="H4">
        <f>'Student Enrollment Data'!BF5</f>
        <v>9492</v>
      </c>
      <c r="I4">
        <f>SUM('Student Enrollment Data'!R5:X5,'Student Enrollment Data'!AQ5:AW5)</f>
        <v>1013.0226939834142</v>
      </c>
      <c r="J4">
        <f>'Student Enrollment Data'!BS5</f>
        <v>1841</v>
      </c>
      <c r="K4">
        <f t="shared" ref="K4:K67" si="3">M4*0.1</f>
        <v>3781.5</v>
      </c>
      <c r="M4" s="30">
        <f>MAX(D4,30)</f>
        <v>37815</v>
      </c>
      <c r="N4" s="30">
        <f>E4*'Front page'!$B$20</f>
        <v>982.80000000000007</v>
      </c>
      <c r="O4" s="30">
        <f>F4*'Front page'!$B$21</f>
        <v>1211.8</v>
      </c>
      <c r="P4">
        <f>G4*'Front page'!$B$18</f>
        <v>2600.65</v>
      </c>
      <c r="Q4" s="30">
        <f>IF(settings!$B$4=0,Calculations!H4,Calculations!I4) *'Front page'!$B$11</f>
        <v>949.2</v>
      </c>
      <c r="R4" s="31">
        <f>ROUND(I4*'Front page'!$B$9,2)</f>
        <v>0</v>
      </c>
      <c r="S4" s="30">
        <f>J4*'Front page'!$B$14</f>
        <v>184.10000000000002</v>
      </c>
      <c r="T4" s="103">
        <f>'Front page'!$B$16*Calculations!K4</f>
        <v>75.63</v>
      </c>
      <c r="U4" s="103">
        <f>IF(settings!$B$13=0,(Calculations!M4*'District Wealth Adjustment'!M3)-Calculations!M4,0)</f>
        <v>0</v>
      </c>
      <c r="V4" s="185">
        <f>VLOOKUP(B4,'Remote School Building Weight'!$M$2:$P$174,3,FALSE)</f>
        <v>0</v>
      </c>
      <c r="W4" s="25">
        <f>'Small Dist Weight'!V3-Calculations!D4</f>
        <v>0</v>
      </c>
      <c r="X4" s="25">
        <f>IF(settings!$P$9=0,'Large District Weight'!H3*'Large District Weight'!G3,0)</f>
        <v>756.30000000000007</v>
      </c>
      <c r="Y4" s="25">
        <f t="shared" ref="Y4:Y67" si="4">SUM(M4:X4)</f>
        <v>44575.48</v>
      </c>
      <c r="Z4" s="25">
        <f>IF(settings!$F$13=0,'Teacher Exp'!L4,0)</f>
        <v>209.59442723708446</v>
      </c>
      <c r="AA4" s="25">
        <f t="shared" ref="AA4:AA67" si="5">Y4+Z4</f>
        <v>44785.074427237087</v>
      </c>
      <c r="AC4" s="26">
        <f>'Student Enrollment Data'!BU5</f>
        <v>2545</v>
      </c>
      <c r="AD4" s="26">
        <f t="shared" ref="AD4:AD67" si="6">M4*0.1</f>
        <v>3781.5</v>
      </c>
      <c r="AE4" s="26">
        <f>AD4*'Front page'!$B$16</f>
        <v>75.63</v>
      </c>
      <c r="AG4" s="6">
        <f>M4*'Front page'!$E$3</f>
        <v>160214269.43905014</v>
      </c>
      <c r="AH4" s="6">
        <f>N4*'Front page'!$E$3</f>
        <v>4163918.6567419935</v>
      </c>
      <c r="AI4" s="6">
        <f>O4*'Front page'!$E$3</f>
        <v>5134143.9033780498</v>
      </c>
      <c r="AJ4" s="6">
        <f>P4*'Front page'!$E$3</f>
        <v>11018411.736524284</v>
      </c>
      <c r="AK4" s="6">
        <f>Q4*'Front page'!$E$3</f>
        <v>4021562.4633491049</v>
      </c>
      <c r="AL4" s="6">
        <f>S4*'Front page'!$E$3</f>
        <v>779993.3096318692</v>
      </c>
      <c r="AM4" s="5">
        <f>Z4*'Front page'!$E$3</f>
        <v>888007.88148315856</v>
      </c>
      <c r="AN4" s="6">
        <f>T4*'Front page'!$E$3</f>
        <v>320428.53887810028</v>
      </c>
      <c r="AO4" s="6">
        <f>U4*'Front page'!$E$3</f>
        <v>0</v>
      </c>
      <c r="AP4" s="6">
        <f>W4*'Front page'!$E$3</f>
        <v>0</v>
      </c>
      <c r="AQ4" s="6">
        <f>V4*'Front page'!$E$3</f>
        <v>0</v>
      </c>
      <c r="AR4" s="6">
        <f>X4*'Front page'!$E$3</f>
        <v>3204285.3887810032</v>
      </c>
      <c r="AS4" s="6">
        <f>SUM(AG4:AR4)</f>
        <v>189745021.31781775</v>
      </c>
      <c r="AT4" s="7">
        <f>IF(AS4&gt;'Funding Comparison'!D4*(1+'Front page'!$H$10),'Funding Comparison'!D4*(1+'Front page'!$H$10),AS4)</f>
        <v>189745021.31781775</v>
      </c>
    </row>
    <row r="5" spans="1:46">
      <c r="A5" t="str">
        <f t="shared" si="0"/>
        <v>003</v>
      </c>
      <c r="B5">
        <f t="shared" si="2"/>
        <v>3</v>
      </c>
      <c r="C5" s="15" t="s">
        <v>14</v>
      </c>
      <c r="D5">
        <f>IF(settings!$G$4=0,'Student Enrollment Data'!AX6,'Student Enrollment Data'!CK6)</f>
        <v>5134</v>
      </c>
      <c r="E5">
        <f>IF(settings!$G$4=0,'Student Enrollment Data'!AY6,'Student Enrollment Data'!CL6)</f>
        <v>1280</v>
      </c>
      <c r="F5">
        <f>IF(settings!$G$4=0,'Student Enrollment Data'!AZ6,'Student Enrollment Data'!CM6)</f>
        <v>1743</v>
      </c>
      <c r="G5" s="25">
        <f>'Student Enrollment Data'!BK6</f>
        <v>646</v>
      </c>
      <c r="H5">
        <f>'Student Enrollment Data'!BF6</f>
        <v>1678</v>
      </c>
      <c r="I5">
        <f>SUM('Student Enrollment Data'!R6:X6,'Student Enrollment Data'!AQ6:AW6)</f>
        <v>196.4864557940341</v>
      </c>
      <c r="J5">
        <f>'Student Enrollment Data'!BS6</f>
        <v>190</v>
      </c>
      <c r="K5">
        <f t="shared" si="3"/>
        <v>513.4</v>
      </c>
      <c r="M5" s="30">
        <f t="shared" si="1"/>
        <v>5134</v>
      </c>
      <c r="N5" s="30">
        <f>E5*'Front page'!$B$20</f>
        <v>128</v>
      </c>
      <c r="O5" s="30">
        <f>F5*'Front page'!$B$21</f>
        <v>174.3</v>
      </c>
      <c r="P5">
        <f>G5*'Front page'!$B$18</f>
        <v>419.90000000000003</v>
      </c>
      <c r="Q5" s="30">
        <f>IF(settings!$B$4=0,Calculations!H5,Calculations!I5) *'Front page'!$B$11</f>
        <v>167.8</v>
      </c>
      <c r="R5" s="31">
        <f>ROUND(I5*'Front page'!$B$9,2)</f>
        <v>0</v>
      </c>
      <c r="S5" s="30">
        <f>J5*'Front page'!$B$14</f>
        <v>19</v>
      </c>
      <c r="T5" s="103">
        <f>'Front page'!$B$16*Calculations!K5</f>
        <v>10.267999999999999</v>
      </c>
      <c r="U5" s="103">
        <f>IF(settings!$B$13=0,(Calculations!M5*'District Wealth Adjustment'!M4)-Calculations!M5,0)</f>
        <v>513.40000000000055</v>
      </c>
      <c r="V5" s="185">
        <f>VLOOKUP(B5,'Remote School Building Weight'!$M$2:$P$174,3,FALSE)</f>
        <v>0</v>
      </c>
      <c r="W5" s="25">
        <f>'Small Dist Weight'!V4-Calculations!D5</f>
        <v>0</v>
      </c>
      <c r="X5" s="25">
        <f>IF(settings!$P$9=0,'Large District Weight'!H4*'Large District Weight'!G4,0)</f>
        <v>0</v>
      </c>
      <c r="Y5" s="25">
        <f t="shared" si="4"/>
        <v>6566.6680000000006</v>
      </c>
      <c r="Z5" s="25">
        <f>IF(settings!$F$13=0,'Teacher Exp'!L5,0)</f>
        <v>0</v>
      </c>
      <c r="AA5" s="25">
        <f t="shared" si="5"/>
        <v>6566.6680000000006</v>
      </c>
      <c r="AC5" s="26">
        <f>'Student Enrollment Data'!BU6</f>
        <v>37</v>
      </c>
      <c r="AD5" s="26">
        <f t="shared" si="6"/>
        <v>513.4</v>
      </c>
      <c r="AE5" s="26">
        <f>AD5*'Front page'!$B$16</f>
        <v>10.267999999999999</v>
      </c>
      <c r="AG5" s="6">
        <f>M5*'Front page'!$E$3</f>
        <v>21751687.407115784</v>
      </c>
      <c r="AH5" s="6">
        <f>N5*'Front page'!$E$3</f>
        <v>542309.30816338537</v>
      </c>
      <c r="AI5" s="6">
        <f>O5*'Front page'!$E$3</f>
        <v>738472.75322561001</v>
      </c>
      <c r="AJ5" s="6">
        <f>P5*'Front page'!$E$3</f>
        <v>1779028.7382641057</v>
      </c>
      <c r="AK5" s="6">
        <f>Q5*'Front page'!$E$3</f>
        <v>710933.60867043806</v>
      </c>
      <c r="AL5" s="6">
        <f>S5*'Front page'!$E$3</f>
        <v>80499.037930502513</v>
      </c>
      <c r="AM5" s="5">
        <f>Z5*'Front page'!$E$3</f>
        <v>0</v>
      </c>
      <c r="AN5" s="6">
        <f>T5*'Front page'!$E$3</f>
        <v>43503.374814231567</v>
      </c>
      <c r="AO5" s="6">
        <f>U5*'Front page'!$E$3</f>
        <v>2175168.740711581</v>
      </c>
      <c r="AP5" s="6">
        <f>W5*'Front page'!$E$3</f>
        <v>0</v>
      </c>
      <c r="AQ5" s="6">
        <f>V5*'Front page'!$E$3</f>
        <v>0</v>
      </c>
      <c r="AR5" s="6">
        <f>X5*'Front page'!$E$3</f>
        <v>0</v>
      </c>
      <c r="AS5" s="6">
        <f t="shared" ref="AS5:AS67" si="7">SUM(AG5:AR5)</f>
        <v>27821602.96889564</v>
      </c>
      <c r="AT5" s="7">
        <f>IF(AS5&gt;'Funding Comparison'!D5*(1+'Front page'!$H$10),'Funding Comparison'!D5*(1+'Front page'!$H$10),AS5)</f>
        <v>27821602.96889564</v>
      </c>
    </row>
    <row r="6" spans="1:46">
      <c r="A6" t="str">
        <f t="shared" si="0"/>
        <v>011</v>
      </c>
      <c r="B6">
        <f t="shared" si="2"/>
        <v>11</v>
      </c>
      <c r="C6" s="15" t="s">
        <v>15</v>
      </c>
      <c r="D6">
        <f>IF(settings!$G$4=0,'Student Enrollment Data'!AX7,'Student Enrollment Data'!CK7)</f>
        <v>147</v>
      </c>
      <c r="E6">
        <f>IF(settings!$G$4=0,'Student Enrollment Data'!AY7,'Student Enrollment Data'!CL7)</f>
        <v>28</v>
      </c>
      <c r="F6">
        <f>IF(settings!$G$4=0,'Student Enrollment Data'!AZ7,'Student Enrollment Data'!CM7)</f>
        <v>40</v>
      </c>
      <c r="G6" s="25">
        <f>'Student Enrollment Data'!BK7</f>
        <v>25</v>
      </c>
      <c r="H6">
        <f>'Student Enrollment Data'!BF7</f>
        <v>66</v>
      </c>
      <c r="I6">
        <f>SUM('Student Enrollment Data'!R7:X7,'Student Enrollment Data'!AQ7:AW7)</f>
        <v>0</v>
      </c>
      <c r="J6">
        <f>'Student Enrollment Data'!BS7</f>
        <v>9</v>
      </c>
      <c r="K6">
        <f t="shared" si="3"/>
        <v>14.700000000000001</v>
      </c>
      <c r="M6" s="30">
        <f t="shared" si="1"/>
        <v>147</v>
      </c>
      <c r="N6" s="30">
        <f>E6*'Front page'!$B$20</f>
        <v>2.8000000000000003</v>
      </c>
      <c r="O6" s="30">
        <f>F6*'Front page'!$B$21</f>
        <v>4</v>
      </c>
      <c r="P6">
        <f>G6*'Front page'!$B$18</f>
        <v>16.25</v>
      </c>
      <c r="Q6" s="30">
        <f>IF(settings!$B$4=0,Calculations!H6,Calculations!I6) *'Front page'!$B$11</f>
        <v>6.6000000000000005</v>
      </c>
      <c r="R6" s="31">
        <f>ROUND(I6*'Front page'!$B$9,2)</f>
        <v>0</v>
      </c>
      <c r="S6" s="30">
        <f>J6*'Front page'!$B$14</f>
        <v>0.9</v>
      </c>
      <c r="T6" s="103">
        <f>'Front page'!$B$16*Calculations!K6</f>
        <v>0.29400000000000004</v>
      </c>
      <c r="U6" s="103">
        <f>IF(settings!$B$13=0,(Calculations!M6*'District Wealth Adjustment'!M5)-Calculations!M6,0)</f>
        <v>0</v>
      </c>
      <c r="V6" s="185">
        <f>VLOOKUP(B6,'Remote School Building Weight'!$M$2:$P$174,3,FALSE)</f>
        <v>0</v>
      </c>
      <c r="W6" s="25">
        <f>'Small Dist Weight'!V5-Calculations!D6</f>
        <v>169.44905172413792</v>
      </c>
      <c r="X6" s="25">
        <f>IF(settings!$P$9=0,'Large District Weight'!H5*'Large District Weight'!G5,0)</f>
        <v>0</v>
      </c>
      <c r="Y6" s="25">
        <f t="shared" si="4"/>
        <v>347.29305172413797</v>
      </c>
      <c r="Z6" s="25">
        <f>IF(settings!$F$13=0,'Teacher Exp'!L6,0)</f>
        <v>0</v>
      </c>
      <c r="AA6" s="25">
        <f t="shared" si="5"/>
        <v>347.29305172413797</v>
      </c>
      <c r="AC6" s="26">
        <f>'Student Enrollment Data'!BU7</f>
        <v>0</v>
      </c>
      <c r="AD6" s="26">
        <f t="shared" si="6"/>
        <v>14.700000000000001</v>
      </c>
      <c r="AE6" s="26">
        <f>AD6*'Front page'!$B$16</f>
        <v>0.29400000000000004</v>
      </c>
      <c r="AG6" s="6">
        <f>M6*'Front page'!$E$3</f>
        <v>622808.34609388793</v>
      </c>
      <c r="AH6" s="6">
        <f>N6*'Front page'!$E$3</f>
        <v>11863.016116074055</v>
      </c>
      <c r="AI6" s="6">
        <f>O6*'Front page'!$E$3</f>
        <v>16947.165880105793</v>
      </c>
      <c r="AJ6" s="6">
        <f>P6*'Front page'!$E$3</f>
        <v>68847.861387929777</v>
      </c>
      <c r="AK6" s="6">
        <f>Q6*'Front page'!$E$3</f>
        <v>27962.823702174559</v>
      </c>
      <c r="AL6" s="6">
        <f>S6*'Front page'!$E$3</f>
        <v>3813.1123230238036</v>
      </c>
      <c r="AM6" s="5">
        <f>Z6*'Front page'!$E$3</f>
        <v>0</v>
      </c>
      <c r="AN6" s="6">
        <f>T6*'Front page'!$E$3</f>
        <v>1245.6166921877759</v>
      </c>
      <c r="AO6" s="6">
        <f>U6*'Front page'!$E$3</f>
        <v>0</v>
      </c>
      <c r="AP6" s="6">
        <f>W6*'Front page'!$E$3</f>
        <v>717920.296948898</v>
      </c>
      <c r="AQ6" s="6">
        <f>V6*'Front page'!$E$3</f>
        <v>0</v>
      </c>
      <c r="AR6" s="6">
        <f>X6*'Front page'!$E$3</f>
        <v>0</v>
      </c>
      <c r="AS6" s="6">
        <f t="shared" si="7"/>
        <v>1471408.2391442817</v>
      </c>
      <c r="AT6" s="7">
        <f>IF(AS6&gt;'Funding Comparison'!D6*(1+'Front page'!$H$10),'Funding Comparison'!D6*(1+'Front page'!$H$10),AS6)</f>
        <v>1471408.2391442817</v>
      </c>
    </row>
    <row r="7" spans="1:46">
      <c r="A7" t="str">
        <f t="shared" si="0"/>
        <v>013</v>
      </c>
      <c r="B7">
        <f t="shared" si="2"/>
        <v>13</v>
      </c>
      <c r="C7" s="15" t="s">
        <v>16</v>
      </c>
      <c r="D7">
        <f>IF(settings!$G$4=0,'Student Enrollment Data'!AX8,'Student Enrollment Data'!CK8)</f>
        <v>272</v>
      </c>
      <c r="E7">
        <f>IF(settings!$G$4=0,'Student Enrollment Data'!AY8,'Student Enrollment Data'!CL8)</f>
        <v>69</v>
      </c>
      <c r="F7">
        <f>IF(settings!$G$4=0,'Student Enrollment Data'!AZ8,'Student Enrollment Data'!CM8)</f>
        <v>71</v>
      </c>
      <c r="G7" s="25">
        <f>'Student Enrollment Data'!BK8</f>
        <v>27</v>
      </c>
      <c r="H7">
        <f>'Student Enrollment Data'!BF8</f>
        <v>144</v>
      </c>
      <c r="I7">
        <f>SUM('Student Enrollment Data'!R8:X8,'Student Enrollment Data'!AQ8:AW8)</f>
        <v>0</v>
      </c>
      <c r="J7">
        <f>'Student Enrollment Data'!BS8</f>
        <v>0</v>
      </c>
      <c r="K7">
        <f t="shared" si="3"/>
        <v>27.200000000000003</v>
      </c>
      <c r="M7" s="30">
        <f t="shared" si="1"/>
        <v>272</v>
      </c>
      <c r="N7" s="30">
        <f>E7*'Front page'!$B$20</f>
        <v>6.9</v>
      </c>
      <c r="O7" s="30">
        <f>F7*'Front page'!$B$21</f>
        <v>7.1000000000000005</v>
      </c>
      <c r="P7">
        <f>G7*'Front page'!$B$18</f>
        <v>17.55</v>
      </c>
      <c r="Q7" s="30">
        <f>IF(settings!$B$4=0,Calculations!H7,Calculations!I7) *'Front page'!$B$11</f>
        <v>14.4</v>
      </c>
      <c r="R7" s="31">
        <f>ROUND(I7*'Front page'!$B$9,2)</f>
        <v>0</v>
      </c>
      <c r="S7" s="30">
        <f>J7*'Front page'!$B$14</f>
        <v>0</v>
      </c>
      <c r="T7" s="103">
        <f>'Front page'!$B$16*Calculations!K7</f>
        <v>0.54400000000000004</v>
      </c>
      <c r="U7" s="103">
        <f>IF(settings!$B$13=0,(Calculations!M7*'District Wealth Adjustment'!M6)-Calculations!M7,0)</f>
        <v>0</v>
      </c>
      <c r="V7" s="185">
        <f>VLOOKUP(B7,'Remote School Building Weight'!$M$2:$P$174,3,FALSE)</f>
        <v>0</v>
      </c>
      <c r="W7" s="25">
        <f>'Small Dist Weight'!V6-Calculations!D7</f>
        <v>161.36294670846394</v>
      </c>
      <c r="X7" s="25">
        <f>IF(settings!$P$9=0,'Large District Weight'!H6*'Large District Weight'!G6,0)</f>
        <v>0</v>
      </c>
      <c r="Y7" s="25">
        <f t="shared" si="4"/>
        <v>479.85694670846391</v>
      </c>
      <c r="Z7" s="25">
        <f>IF(settings!$F$13=0,'Teacher Exp'!L7,0)</f>
        <v>8.9027759941012796</v>
      </c>
      <c r="AA7" s="25">
        <f t="shared" si="5"/>
        <v>488.75972270256517</v>
      </c>
      <c r="AC7" s="26">
        <f>'Student Enrollment Data'!BU8</f>
        <v>0</v>
      </c>
      <c r="AD7" s="26">
        <f t="shared" si="6"/>
        <v>27.200000000000003</v>
      </c>
      <c r="AE7" s="26">
        <f>AD7*'Front page'!$B$16</f>
        <v>0.54400000000000004</v>
      </c>
      <c r="AG7" s="6">
        <f>M7*'Front page'!$E$3</f>
        <v>1152407.279847194</v>
      </c>
      <c r="AH7" s="6">
        <f>N7*'Front page'!$E$3</f>
        <v>29233.861143182494</v>
      </c>
      <c r="AI7" s="6">
        <f>O7*'Front page'!$E$3</f>
        <v>30081.219437187785</v>
      </c>
      <c r="AJ7" s="6">
        <f>P7*'Front page'!$E$3</f>
        <v>74355.690298964168</v>
      </c>
      <c r="AK7" s="6">
        <f>Q7*'Front page'!$E$3</f>
        <v>61009.797168380857</v>
      </c>
      <c r="AL7" s="6">
        <f>S7*'Front page'!$E$3</f>
        <v>0</v>
      </c>
      <c r="AM7" s="5">
        <f>Z7*'Front page'!$E$3</f>
        <v>37719.205391364536</v>
      </c>
      <c r="AN7" s="6">
        <f>T7*'Front page'!$E$3</f>
        <v>2304.8145596943882</v>
      </c>
      <c r="AO7" s="6">
        <f>U7*'Front page'!$E$3</f>
        <v>0</v>
      </c>
      <c r="AP7" s="6">
        <f>W7*'Front page'!$E$3</f>
        <v>683661.1561927523</v>
      </c>
      <c r="AQ7" s="6">
        <f>V7*'Front page'!$E$3</f>
        <v>0</v>
      </c>
      <c r="AR7" s="6">
        <f>X7*'Front page'!$E$3</f>
        <v>0</v>
      </c>
      <c r="AS7" s="6">
        <f t="shared" si="7"/>
        <v>2070773.0240387206</v>
      </c>
      <c r="AT7" s="7">
        <f>IF(AS7&gt;'Funding Comparison'!D7*(1+'Front page'!$H$10),'Funding Comparison'!D7*(1+'Front page'!$H$10),AS7)</f>
        <v>2070773.0240387206</v>
      </c>
    </row>
    <row r="8" spans="1:46">
      <c r="A8" t="str">
        <f t="shared" si="0"/>
        <v>021</v>
      </c>
      <c r="B8">
        <f t="shared" si="2"/>
        <v>21</v>
      </c>
      <c r="C8" s="15" t="s">
        <v>17</v>
      </c>
      <c r="D8">
        <f>IF(settings!$G$4=0,'Student Enrollment Data'!AX9,'Student Enrollment Data'!CK9)</f>
        <v>1229</v>
      </c>
      <c r="E8">
        <f>IF(settings!$G$4=0,'Student Enrollment Data'!AY9,'Student Enrollment Data'!CL9)</f>
        <v>304</v>
      </c>
      <c r="F8">
        <f>IF(settings!$G$4=0,'Student Enrollment Data'!AZ9,'Student Enrollment Data'!CM9)</f>
        <v>398</v>
      </c>
      <c r="G8" s="25">
        <f>'Student Enrollment Data'!BK9</f>
        <v>180</v>
      </c>
      <c r="H8">
        <f>'Student Enrollment Data'!BF9</f>
        <v>515</v>
      </c>
      <c r="I8">
        <f>SUM('Student Enrollment Data'!R9:X9,'Student Enrollment Data'!AQ9:AW9)</f>
        <v>0</v>
      </c>
      <c r="J8">
        <f>'Student Enrollment Data'!BS9</f>
        <v>0</v>
      </c>
      <c r="K8">
        <f t="shared" si="3"/>
        <v>122.9</v>
      </c>
      <c r="M8" s="30">
        <f t="shared" si="1"/>
        <v>1229</v>
      </c>
      <c r="N8" s="30">
        <f>E8*'Front page'!$B$20</f>
        <v>30.400000000000002</v>
      </c>
      <c r="O8" s="30">
        <f>F8*'Front page'!$B$21</f>
        <v>39.800000000000004</v>
      </c>
      <c r="P8">
        <f>G8*'Front page'!$B$18</f>
        <v>117</v>
      </c>
      <c r="Q8" s="30">
        <f>IF(settings!$B$4=0,Calculations!H8,Calculations!I8) *'Front page'!$B$11</f>
        <v>51.5</v>
      </c>
      <c r="R8" s="31">
        <f>ROUND(I8*'Front page'!$B$9,2)</f>
        <v>0</v>
      </c>
      <c r="S8" s="30">
        <f>J8*'Front page'!$B$14</f>
        <v>0</v>
      </c>
      <c r="T8" s="103">
        <f>'Front page'!$B$16*Calculations!K8</f>
        <v>2.4580000000000002</v>
      </c>
      <c r="U8" s="103">
        <f>IF(settings!$B$13=0,(Calculations!M8*'District Wealth Adjustment'!M7)-Calculations!M8,0)</f>
        <v>0</v>
      </c>
      <c r="V8" s="185">
        <f>VLOOKUP(B8,'Remote School Building Weight'!$M$2:$P$174,3,FALSE)</f>
        <v>147.67633997725136</v>
      </c>
      <c r="W8" s="25">
        <f>'Small Dist Weight'!V7-Calculations!D8</f>
        <v>91.709655172413932</v>
      </c>
      <c r="X8" s="25">
        <f>IF(settings!$P$9=0,'Large District Weight'!H7*'Large District Weight'!G7,0)</f>
        <v>0</v>
      </c>
      <c r="Y8" s="25">
        <f t="shared" si="4"/>
        <v>1709.5439951496655</v>
      </c>
      <c r="Z8" s="25">
        <f>IF(settings!$F$13=0,'Teacher Exp'!L8,0)</f>
        <v>0</v>
      </c>
      <c r="AA8" s="25">
        <f t="shared" si="5"/>
        <v>1709.5439951496655</v>
      </c>
      <c r="AC8" s="26">
        <f>'Student Enrollment Data'!BU9</f>
        <v>54</v>
      </c>
      <c r="AD8" s="26">
        <f t="shared" si="6"/>
        <v>122.9</v>
      </c>
      <c r="AE8" s="26">
        <f>AD8*'Front page'!$B$16</f>
        <v>2.4580000000000002</v>
      </c>
      <c r="AG8" s="6">
        <f>M8*'Front page'!$E$3</f>
        <v>5207016.7166625047</v>
      </c>
      <c r="AH8" s="6">
        <f>N8*'Front page'!$E$3</f>
        <v>128798.46068880403</v>
      </c>
      <c r="AI8" s="6">
        <f>O8*'Front page'!$E$3</f>
        <v>168624.30050705266</v>
      </c>
      <c r="AJ8" s="6">
        <f>P8*'Front page'!$E$3</f>
        <v>495704.60199309443</v>
      </c>
      <c r="AK8" s="6">
        <f>Q8*'Front page'!$E$3</f>
        <v>218194.76070636208</v>
      </c>
      <c r="AL8" s="6">
        <f>S8*'Front page'!$E$3</f>
        <v>0</v>
      </c>
      <c r="AM8" s="5">
        <f>Z8*'Front page'!$E$3</f>
        <v>0</v>
      </c>
      <c r="AN8" s="6">
        <f>T8*'Front page'!$E$3</f>
        <v>10414.03343332501</v>
      </c>
      <c r="AO8" s="6">
        <f>U8*'Front page'!$E$3</f>
        <v>0</v>
      </c>
      <c r="AP8" s="6">
        <f>W8*'Front page'!$E$3</f>
        <v>388554.68475355027</v>
      </c>
      <c r="AQ8" s="6">
        <f>V8*'Front page'!$E$3</f>
        <v>625673.85754034435</v>
      </c>
      <c r="AR8" s="6">
        <f>X8*'Front page'!$E$3</f>
        <v>0</v>
      </c>
      <c r="AS8" s="6">
        <f t="shared" si="7"/>
        <v>7242981.416285038</v>
      </c>
      <c r="AT8" s="7">
        <f>IF(AS8&gt;'Funding Comparison'!D8*(1+'Front page'!$H$10),'Funding Comparison'!D8*(1+'Front page'!$H$10),AS8)</f>
        <v>7242981.416285038</v>
      </c>
    </row>
    <row r="9" spans="1:46">
      <c r="A9" t="str">
        <f t="shared" si="0"/>
        <v>025</v>
      </c>
      <c r="B9">
        <f t="shared" si="2"/>
        <v>25</v>
      </c>
      <c r="C9" s="15" t="s">
        <v>18</v>
      </c>
      <c r="D9">
        <f>IF(settings!$G$4=0,'Student Enrollment Data'!AX10,'Student Enrollment Data'!CK10)</f>
        <v>12016.5</v>
      </c>
      <c r="E9">
        <f>IF(settings!$G$4=0,'Student Enrollment Data'!AY10,'Student Enrollment Data'!CL10)</f>
        <v>3199.5</v>
      </c>
      <c r="F9">
        <f>IF(settings!$G$4=0,'Student Enrollment Data'!AZ10,'Student Enrollment Data'!CM10)</f>
        <v>3980</v>
      </c>
      <c r="G9" s="25">
        <f>'Student Enrollment Data'!BK10</f>
        <v>1396</v>
      </c>
      <c r="H9">
        <f>'Student Enrollment Data'!BF10</f>
        <v>6186</v>
      </c>
      <c r="I9">
        <f>SUM('Student Enrollment Data'!R10:X10,'Student Enrollment Data'!AQ10:AW10)</f>
        <v>336.96880405316961</v>
      </c>
      <c r="J9">
        <f>'Student Enrollment Data'!BS10</f>
        <v>126</v>
      </c>
      <c r="K9">
        <f t="shared" si="3"/>
        <v>1201.6500000000001</v>
      </c>
      <c r="M9" s="30">
        <f t="shared" si="1"/>
        <v>12016.5</v>
      </c>
      <c r="N9" s="30">
        <f>E9*'Front page'!$B$20</f>
        <v>319.95000000000005</v>
      </c>
      <c r="O9" s="30">
        <f>F9*'Front page'!$B$21</f>
        <v>398</v>
      </c>
      <c r="P9">
        <f>G9*'Front page'!$B$18</f>
        <v>907.4</v>
      </c>
      <c r="Q9" s="30">
        <f>IF(settings!$B$4=0,Calculations!H9,Calculations!I9) *'Front page'!$B$11</f>
        <v>618.6</v>
      </c>
      <c r="R9" s="31">
        <f>ROUND(I9*'Front page'!$B$9,2)</f>
        <v>0</v>
      </c>
      <c r="S9" s="30">
        <f>J9*'Front page'!$B$14</f>
        <v>12.600000000000001</v>
      </c>
      <c r="T9" s="103">
        <f>'Front page'!$B$16*Calculations!K9</f>
        <v>24.033000000000001</v>
      </c>
      <c r="U9" s="103">
        <f>IF(settings!$B$13=0,(Calculations!M9*'District Wealth Adjustment'!M8)-Calculations!M9,0)</f>
        <v>1201.6500000000015</v>
      </c>
      <c r="V9" s="185">
        <f>VLOOKUP(B9,'Remote School Building Weight'!$M$2:$P$174,3,FALSE)</f>
        <v>0</v>
      </c>
      <c r="W9" s="25">
        <f>'Small Dist Weight'!V8-Calculations!D9</f>
        <v>0</v>
      </c>
      <c r="X9" s="25">
        <f>IF(settings!$P$9=0,'Large District Weight'!H8*'Large District Weight'!G8,0)</f>
        <v>0</v>
      </c>
      <c r="Y9" s="25">
        <f t="shared" si="4"/>
        <v>15498.733000000002</v>
      </c>
      <c r="Z9" s="25">
        <f>IF(settings!$F$13=0,'Teacher Exp'!L9,0)</f>
        <v>69.341373376644228</v>
      </c>
      <c r="AA9" s="25">
        <f t="shared" si="5"/>
        <v>15568.074373376647</v>
      </c>
      <c r="AC9" s="26">
        <f>'Student Enrollment Data'!BU10</f>
        <v>1855</v>
      </c>
      <c r="AD9" s="26">
        <f t="shared" si="6"/>
        <v>1201.6500000000001</v>
      </c>
      <c r="AE9" s="26">
        <f>AD9*'Front page'!$B$16</f>
        <v>24.033000000000001</v>
      </c>
      <c r="AG9" s="6">
        <f>M9*'Front page'!$E$3</f>
        <v>50911404.699572816</v>
      </c>
      <c r="AH9" s="6">
        <f>N9*'Front page'!$E$3</f>
        <v>1355561.4308349623</v>
      </c>
      <c r="AI9" s="6">
        <f>O9*'Front page'!$E$3</f>
        <v>1686243.0050705264</v>
      </c>
      <c r="AJ9" s="6">
        <f>P9*'Front page'!$E$3</f>
        <v>3844464.5799019989</v>
      </c>
      <c r="AK9" s="6">
        <f>Q9*'Front page'!$E$3</f>
        <v>2620879.203358361</v>
      </c>
      <c r="AL9" s="6">
        <f>S9*'Front page'!$E$3</f>
        <v>53383.572522333256</v>
      </c>
      <c r="AM9" s="5">
        <f>Z9*'Front page'!$E$3</f>
        <v>293784.93924208533</v>
      </c>
      <c r="AN9" s="6">
        <f>T9*'Front page'!$E$3</f>
        <v>101822.80939914564</v>
      </c>
      <c r="AO9" s="6">
        <f>U9*'Front page'!$E$3</f>
        <v>5091140.4699572874</v>
      </c>
      <c r="AP9" s="6">
        <f>W9*'Front page'!$E$3</f>
        <v>0</v>
      </c>
      <c r="AQ9" s="6">
        <f>V9*'Front page'!$E$3</f>
        <v>0</v>
      </c>
      <c r="AR9" s="6">
        <f>X9*'Front page'!$E$3</f>
        <v>0</v>
      </c>
      <c r="AS9" s="6">
        <f t="shared" si="7"/>
        <v>65958684.70985952</v>
      </c>
      <c r="AT9" s="7">
        <f>IF(AS9&gt;'Funding Comparison'!D9*(1+'Front page'!$H$10),'Funding Comparison'!D9*(1+'Front page'!$H$10),AS9)</f>
        <v>65767577.026500002</v>
      </c>
    </row>
    <row r="10" spans="1:46">
      <c r="A10" t="str">
        <f t="shared" si="0"/>
        <v>033</v>
      </c>
      <c r="B10">
        <f t="shared" si="2"/>
        <v>33</v>
      </c>
      <c r="C10" s="15" t="s">
        <v>19</v>
      </c>
      <c r="D10">
        <f>IF(settings!$G$4=0,'Student Enrollment Data'!AX11,'Student Enrollment Data'!CK11)</f>
        <v>1127.5</v>
      </c>
      <c r="E10">
        <f>IF(settings!$G$4=0,'Student Enrollment Data'!AY11,'Student Enrollment Data'!CL11)</f>
        <v>351.5</v>
      </c>
      <c r="F10">
        <f>IF(settings!$G$4=0,'Student Enrollment Data'!AZ11,'Student Enrollment Data'!CM11)</f>
        <v>323</v>
      </c>
      <c r="G10" s="25">
        <f>'Student Enrollment Data'!BK11</f>
        <v>154</v>
      </c>
      <c r="H10">
        <f>'Student Enrollment Data'!BF11</f>
        <v>497</v>
      </c>
      <c r="I10">
        <f>SUM('Student Enrollment Data'!R11:X11,'Student Enrollment Data'!AQ11:AW11)</f>
        <v>11.252511372123021</v>
      </c>
      <c r="J10">
        <f>'Student Enrollment Data'!BS11</f>
        <v>0</v>
      </c>
      <c r="K10">
        <f t="shared" si="3"/>
        <v>112.75</v>
      </c>
      <c r="M10" s="30">
        <f t="shared" si="1"/>
        <v>1127.5</v>
      </c>
      <c r="N10" s="30">
        <f>E10*'Front page'!$B$20</f>
        <v>35.15</v>
      </c>
      <c r="O10" s="30">
        <f>F10*'Front page'!$B$21</f>
        <v>32.300000000000004</v>
      </c>
      <c r="P10">
        <f>G10*'Front page'!$B$18</f>
        <v>100.10000000000001</v>
      </c>
      <c r="Q10" s="30">
        <f>IF(settings!$B$4=0,Calculations!H10,Calculations!I10) *'Front page'!$B$11</f>
        <v>49.7</v>
      </c>
      <c r="R10" s="31">
        <f>ROUND(I10*'Front page'!$B$9,2)</f>
        <v>0</v>
      </c>
      <c r="S10" s="30">
        <f>J10*'Front page'!$B$14</f>
        <v>0</v>
      </c>
      <c r="T10" s="103">
        <f>'Front page'!$B$16*Calculations!K10</f>
        <v>2.2549999999999999</v>
      </c>
      <c r="U10" s="103">
        <f>IF(settings!$B$13=0,(Calculations!M10*'District Wealth Adjustment'!M9)-Calculations!M10,0)</f>
        <v>0</v>
      </c>
      <c r="V10" s="185">
        <f>VLOOKUP(B10,'Remote School Building Weight'!$M$2:$P$174,3,FALSE)</f>
        <v>57.60704446880662</v>
      </c>
      <c r="W10" s="25">
        <f>'Small Dist Weight'!V9-Calculations!D10</f>
        <v>111.31448275862067</v>
      </c>
      <c r="X10" s="25">
        <f>IF(settings!$P$9=0,'Large District Weight'!H9*'Large District Weight'!G9,0)</f>
        <v>0</v>
      </c>
      <c r="Y10" s="25">
        <f t="shared" si="4"/>
        <v>1515.9265272274274</v>
      </c>
      <c r="Z10" s="25">
        <f>IF(settings!$F$13=0,'Teacher Exp'!L10,0)</f>
        <v>0</v>
      </c>
      <c r="AA10" s="25">
        <f t="shared" si="5"/>
        <v>1515.9265272274274</v>
      </c>
      <c r="AC10" s="26">
        <f>'Student Enrollment Data'!BU11</f>
        <v>195</v>
      </c>
      <c r="AD10" s="26">
        <f t="shared" si="6"/>
        <v>112.75</v>
      </c>
      <c r="AE10" s="26">
        <f>AD10*'Front page'!$B$16</f>
        <v>2.2549999999999999</v>
      </c>
      <c r="AG10" s="6">
        <f>M10*'Front page'!$E$3</f>
        <v>4776982.38245482</v>
      </c>
      <c r="AH10" s="6">
        <f>N10*'Front page'!$E$3</f>
        <v>148923.22017142965</v>
      </c>
      <c r="AI10" s="6">
        <f>O10*'Front page'!$E$3</f>
        <v>136848.36448185428</v>
      </c>
      <c r="AJ10" s="6">
        <f>P10*'Front page'!$E$3</f>
        <v>424102.82614964753</v>
      </c>
      <c r="AK10" s="6">
        <f>Q10*'Front page'!$E$3</f>
        <v>210568.53606031448</v>
      </c>
      <c r="AL10" s="6">
        <f>S10*'Front page'!$E$3</f>
        <v>0</v>
      </c>
      <c r="AM10" s="5">
        <f>Z10*'Front page'!$E$3</f>
        <v>0</v>
      </c>
      <c r="AN10" s="6">
        <f>T10*'Front page'!$E$3</f>
        <v>9553.9647649096405</v>
      </c>
      <c r="AO10" s="6">
        <f>U10*'Front page'!$E$3</f>
        <v>0</v>
      </c>
      <c r="AP10" s="6">
        <f>W10*'Front page'!$E$3</f>
        <v>471616.25104213017</v>
      </c>
      <c r="AQ10" s="6">
        <f>V10*'Front page'!$E$3</f>
        <v>244069.03461887417</v>
      </c>
      <c r="AR10" s="6">
        <f>X10*'Front page'!$E$3</f>
        <v>0</v>
      </c>
      <c r="AS10" s="6">
        <f t="shared" si="7"/>
        <v>6422664.5797439795</v>
      </c>
      <c r="AT10" s="7">
        <f>IF(AS10&gt;'Funding Comparison'!D10*(1+'Front page'!$H$10),'Funding Comparison'!D10*(1+'Front page'!$H$10),AS10)</f>
        <v>6422664.5797439795</v>
      </c>
    </row>
    <row r="11" spans="1:46">
      <c r="A11" t="str">
        <f t="shared" si="0"/>
        <v>041</v>
      </c>
      <c r="B11">
        <f t="shared" si="2"/>
        <v>41</v>
      </c>
      <c r="C11" s="15" t="s">
        <v>20</v>
      </c>
      <c r="D11">
        <f>IF(settings!$G$4=0,'Student Enrollment Data'!AX12,'Student Enrollment Data'!CK12)</f>
        <v>940</v>
      </c>
      <c r="E11">
        <f>IF(settings!$G$4=0,'Student Enrollment Data'!AY12,'Student Enrollment Data'!CL12)</f>
        <v>255</v>
      </c>
      <c r="F11">
        <f>IF(settings!$G$4=0,'Student Enrollment Data'!AZ12,'Student Enrollment Data'!CM12)</f>
        <v>303</v>
      </c>
      <c r="G11" s="25">
        <f>'Student Enrollment Data'!BK12</f>
        <v>139</v>
      </c>
      <c r="H11">
        <f>'Student Enrollment Data'!BF12</f>
        <v>495</v>
      </c>
      <c r="I11">
        <f>SUM('Student Enrollment Data'!R12:X12,'Student Enrollment Data'!AQ12:AW12)</f>
        <v>15.624135584415587</v>
      </c>
      <c r="J11">
        <f>'Student Enrollment Data'!BS12</f>
        <v>77.811939343103845</v>
      </c>
      <c r="K11">
        <f t="shared" si="3"/>
        <v>94</v>
      </c>
      <c r="M11" s="30">
        <f t="shared" si="1"/>
        <v>940</v>
      </c>
      <c r="N11" s="30">
        <f>E11*'Front page'!$B$20</f>
        <v>25.5</v>
      </c>
      <c r="O11" s="30">
        <f>F11*'Front page'!$B$21</f>
        <v>30.3</v>
      </c>
      <c r="P11">
        <f>G11*'Front page'!$B$18</f>
        <v>90.350000000000009</v>
      </c>
      <c r="Q11" s="30">
        <f>IF(settings!$B$4=0,Calculations!H11,Calculations!I11) *'Front page'!$B$11</f>
        <v>49.5</v>
      </c>
      <c r="R11" s="31">
        <f>ROUND(I11*'Front page'!$B$9,2)</f>
        <v>0</v>
      </c>
      <c r="S11" s="30">
        <f>J11*'Front page'!$B$14</f>
        <v>7.7811939343103846</v>
      </c>
      <c r="T11" s="103">
        <f>'Front page'!$B$16*Calculations!K11</f>
        <v>1.8800000000000001</v>
      </c>
      <c r="U11" s="103">
        <f>IF(settings!$B$13=0,(Calculations!M11*'District Wealth Adjustment'!M10)-Calculations!M11,0)</f>
        <v>0</v>
      </c>
      <c r="V11" s="185">
        <f>VLOOKUP(B11,'Remote School Building Weight'!$M$2:$P$174,3,FALSE)</f>
        <v>49.265537206043298</v>
      </c>
      <c r="W11" s="25">
        <f>'Small Dist Weight'!V10-Calculations!D11</f>
        <v>114.05172413793116</v>
      </c>
      <c r="X11" s="25">
        <f>IF(settings!$P$9=0,'Large District Weight'!H10*'Large District Weight'!G10,0)</f>
        <v>0</v>
      </c>
      <c r="Y11" s="25">
        <f t="shared" si="4"/>
        <v>1308.6284552782847</v>
      </c>
      <c r="Z11" s="25">
        <f>IF(settings!$F$13=0,'Teacher Exp'!L11,0)</f>
        <v>0</v>
      </c>
      <c r="AA11" s="25">
        <f t="shared" si="5"/>
        <v>1308.6284552782847</v>
      </c>
      <c r="AC11" s="26">
        <f>'Student Enrollment Data'!BU12</f>
        <v>0</v>
      </c>
      <c r="AD11" s="26">
        <f t="shared" si="6"/>
        <v>94</v>
      </c>
      <c r="AE11" s="26">
        <f>AD11*'Front page'!$B$16</f>
        <v>1.8800000000000001</v>
      </c>
      <c r="AG11" s="6">
        <f>M11*'Front page'!$E$3</f>
        <v>3982583.9818248614</v>
      </c>
      <c r="AH11" s="6">
        <f>N11*'Front page'!$E$3</f>
        <v>108038.18248567444</v>
      </c>
      <c r="AI11" s="6">
        <f>O11*'Front page'!$E$3</f>
        <v>128374.78154180138</v>
      </c>
      <c r="AJ11" s="6">
        <f>P11*'Front page'!$E$3</f>
        <v>382794.1093168896</v>
      </c>
      <c r="AK11" s="6">
        <f>Q11*'Front page'!$E$3</f>
        <v>209721.17776630918</v>
      </c>
      <c r="AL11" s="6">
        <f>S11*'Front page'!$E$3</f>
        <v>32967.296087507777</v>
      </c>
      <c r="AM11" s="5">
        <f>Z11*'Front page'!$E$3</f>
        <v>0</v>
      </c>
      <c r="AN11" s="6">
        <f>T11*'Front page'!$E$3</f>
        <v>7965.1679636497229</v>
      </c>
      <c r="AO11" s="6">
        <f>U11*'Front page'!$E$3</f>
        <v>0</v>
      </c>
      <c r="AP11" s="6">
        <f>W11*'Front page'!$E$3</f>
        <v>483213.37196939631</v>
      </c>
      <c r="AQ11" s="6">
        <f>V11*'Front page'!$E$3</f>
        <v>208727.80780083485</v>
      </c>
      <c r="AR11" s="6">
        <f>X11*'Front page'!$E$3</f>
        <v>0</v>
      </c>
      <c r="AS11" s="6">
        <f t="shared" si="7"/>
        <v>5544385.8767569251</v>
      </c>
      <c r="AT11" s="7">
        <f>IF(AS11&gt;'Funding Comparison'!D11*(1+'Front page'!$H$10),'Funding Comparison'!D11*(1+'Front page'!$H$10),AS11)</f>
        <v>5544385.8767569251</v>
      </c>
    </row>
    <row r="12" spans="1:46">
      <c r="A12" t="str">
        <f t="shared" si="0"/>
        <v>044</v>
      </c>
      <c r="B12">
        <f t="shared" si="2"/>
        <v>44</v>
      </c>
      <c r="C12" s="15" t="s">
        <v>21</v>
      </c>
      <c r="D12">
        <f>IF(settings!$G$4=0,'Student Enrollment Data'!AX13,'Student Enrollment Data'!CK13)</f>
        <v>340.5</v>
      </c>
      <c r="E12">
        <f>IF(settings!$G$4=0,'Student Enrollment Data'!AY13,'Student Enrollment Data'!CL13)</f>
        <v>98.5</v>
      </c>
      <c r="F12">
        <f>IF(settings!$G$4=0,'Student Enrollment Data'!AZ13,'Student Enrollment Data'!CM13)</f>
        <v>125</v>
      </c>
      <c r="G12" s="25">
        <f>'Student Enrollment Data'!BK13</f>
        <v>76</v>
      </c>
      <c r="H12">
        <f>'Student Enrollment Data'!BF13</f>
        <v>151.78</v>
      </c>
      <c r="I12">
        <f>SUM('Student Enrollment Data'!R13:X13,'Student Enrollment Data'!AQ13:AW13)</f>
        <v>0</v>
      </c>
      <c r="J12">
        <f>'Student Enrollment Data'!BS13</f>
        <v>0</v>
      </c>
      <c r="K12">
        <f t="shared" si="3"/>
        <v>34.050000000000004</v>
      </c>
      <c r="M12" s="30">
        <f t="shared" si="1"/>
        <v>340.5</v>
      </c>
      <c r="N12" s="30">
        <f>E12*'Front page'!$B$20</f>
        <v>9.8500000000000014</v>
      </c>
      <c r="O12" s="30">
        <f>F12*'Front page'!$B$21</f>
        <v>12.5</v>
      </c>
      <c r="P12">
        <f>G12*'Front page'!$B$18</f>
        <v>49.4</v>
      </c>
      <c r="Q12" s="30">
        <f>IF(settings!$B$4=0,Calculations!H12,Calculations!I12) *'Front page'!$B$11</f>
        <v>15.178000000000001</v>
      </c>
      <c r="R12" s="31">
        <f>ROUND(I12*'Front page'!$B$9,2)</f>
        <v>0</v>
      </c>
      <c r="S12" s="30">
        <f>J12*'Front page'!$B$14</f>
        <v>0</v>
      </c>
      <c r="T12" s="103">
        <f>'Front page'!$B$16*Calculations!K12</f>
        <v>0.68100000000000005</v>
      </c>
      <c r="U12" s="103">
        <f>IF(settings!$B$13=0,(Calculations!M12*'District Wealth Adjustment'!M11)-Calculations!M12,0)</f>
        <v>0</v>
      </c>
      <c r="V12" s="185">
        <f>VLOOKUP(B12,'Remote School Building Weight'!$M$2:$P$174,3,FALSE)</f>
        <v>0</v>
      </c>
      <c r="W12" s="25">
        <f>'Small Dist Weight'!V11-Calculations!D12</f>
        <v>169.89399098746082</v>
      </c>
      <c r="X12" s="25">
        <f>IF(settings!$P$9=0,'Large District Weight'!H11*'Large District Weight'!G11,0)</f>
        <v>0</v>
      </c>
      <c r="Y12" s="25">
        <f t="shared" si="4"/>
        <v>598.00299098746086</v>
      </c>
      <c r="Z12" s="25">
        <f>IF(settings!$F$13=0,'Teacher Exp'!L12,0)</f>
        <v>0</v>
      </c>
      <c r="AA12" s="25">
        <f t="shared" si="5"/>
        <v>598.00299098746086</v>
      </c>
      <c r="AC12" s="26">
        <f>'Student Enrollment Data'!BU13</f>
        <v>0</v>
      </c>
      <c r="AD12" s="26">
        <f t="shared" si="6"/>
        <v>34.050000000000004</v>
      </c>
      <c r="AE12" s="26">
        <f>AD12*'Front page'!$B$16</f>
        <v>0.68100000000000005</v>
      </c>
      <c r="AG12" s="6">
        <f>M12*'Front page'!$E$3</f>
        <v>1442627.4955440057</v>
      </c>
      <c r="AH12" s="6">
        <f>N12*'Front page'!$E$3</f>
        <v>41732.39597976052</v>
      </c>
      <c r="AI12" s="6">
        <f>O12*'Front page'!$E$3</f>
        <v>52959.893375330605</v>
      </c>
      <c r="AJ12" s="6">
        <f>P12*'Front page'!$E$3</f>
        <v>209297.49861930654</v>
      </c>
      <c r="AK12" s="6">
        <f>Q12*'Front page'!$E$3</f>
        <v>64306.020932061438</v>
      </c>
      <c r="AL12" s="6">
        <f>S12*'Front page'!$E$3</f>
        <v>0</v>
      </c>
      <c r="AM12" s="5">
        <f>Z12*'Front page'!$E$3</f>
        <v>0</v>
      </c>
      <c r="AN12" s="6">
        <f>T12*'Front page'!$E$3</f>
        <v>2885.2549910880116</v>
      </c>
      <c r="AO12" s="6">
        <f>U12*'Front page'!$E$3</f>
        <v>0</v>
      </c>
      <c r="AP12" s="6">
        <f>W12*'Front page'!$E$3</f>
        <v>719805.41182442429</v>
      </c>
      <c r="AQ12" s="6">
        <f>V12*'Front page'!$E$3</f>
        <v>0</v>
      </c>
      <c r="AR12" s="6">
        <f>X12*'Front page'!$E$3</f>
        <v>0</v>
      </c>
      <c r="AS12" s="6">
        <f t="shared" si="7"/>
        <v>2533613.9712659772</v>
      </c>
      <c r="AT12" s="7">
        <f>IF(AS12&gt;'Funding Comparison'!D12*(1+'Front page'!$H$10),'Funding Comparison'!D12*(1+'Front page'!$H$10),AS12)</f>
        <v>2280071.9577499996</v>
      </c>
    </row>
    <row r="13" spans="1:46">
      <c r="A13" t="str">
        <f t="shared" si="0"/>
        <v>052</v>
      </c>
      <c r="B13">
        <f t="shared" si="2"/>
        <v>52</v>
      </c>
      <c r="C13" s="15" t="s">
        <v>22</v>
      </c>
      <c r="D13">
        <f>IF(settings!$G$4=0,'Student Enrollment Data'!AX14,'Student Enrollment Data'!CK14)</f>
        <v>1705.5</v>
      </c>
      <c r="E13">
        <f>IF(settings!$G$4=0,'Student Enrollment Data'!AY14,'Student Enrollment Data'!CL14)</f>
        <v>451.5</v>
      </c>
      <c r="F13">
        <f>IF(settings!$G$4=0,'Student Enrollment Data'!AZ14,'Student Enrollment Data'!CM14)</f>
        <v>551</v>
      </c>
      <c r="G13" s="25">
        <f>'Student Enrollment Data'!BK14</f>
        <v>183</v>
      </c>
      <c r="H13">
        <f>'Student Enrollment Data'!BF14</f>
        <v>606</v>
      </c>
      <c r="I13">
        <f>SUM('Student Enrollment Data'!R14:X14,'Student Enrollment Data'!AQ14:AW14)</f>
        <v>0</v>
      </c>
      <c r="J13">
        <f>'Student Enrollment Data'!BS14</f>
        <v>183</v>
      </c>
      <c r="K13">
        <f t="shared" si="3"/>
        <v>170.55</v>
      </c>
      <c r="M13" s="30">
        <f t="shared" si="1"/>
        <v>1705.5</v>
      </c>
      <c r="N13" s="30">
        <f>E13*'Front page'!$B$20</f>
        <v>45.150000000000006</v>
      </c>
      <c r="O13" s="30">
        <f>F13*'Front page'!$B$21</f>
        <v>55.1</v>
      </c>
      <c r="P13">
        <f>G13*'Front page'!$B$18</f>
        <v>118.95</v>
      </c>
      <c r="Q13" s="30">
        <f>IF(settings!$B$4=0,Calculations!H13,Calculations!I13) *'Front page'!$B$11</f>
        <v>60.6</v>
      </c>
      <c r="R13" s="31">
        <f>ROUND(I13*'Front page'!$B$9,2)</f>
        <v>0</v>
      </c>
      <c r="S13" s="30">
        <f>J13*'Front page'!$B$14</f>
        <v>18.3</v>
      </c>
      <c r="T13" s="103">
        <f>'Front page'!$B$16*Calculations!K13</f>
        <v>3.4110000000000005</v>
      </c>
      <c r="U13" s="103">
        <f>IF(settings!$B$13=0,(Calculations!M13*'District Wealth Adjustment'!M12)-Calculations!M13,0)</f>
        <v>170.55000000000018</v>
      </c>
      <c r="V13" s="185">
        <f>VLOOKUP(B13,'Remote School Building Weight'!$M$2:$P$174,3,FALSE)</f>
        <v>0</v>
      </c>
      <c r="W13" s="25">
        <f>'Small Dist Weight'!V12-Calculations!D13</f>
        <v>16.667844827586578</v>
      </c>
      <c r="X13" s="25">
        <f>IF(settings!$P$9=0,'Large District Weight'!H12*'Large District Weight'!G12,0)</f>
        <v>0</v>
      </c>
      <c r="Y13" s="25">
        <f t="shared" si="4"/>
        <v>2194.2288448275867</v>
      </c>
      <c r="Z13" s="25">
        <f>IF(settings!$F$13=0,'Teacher Exp'!L13,0)</f>
        <v>0</v>
      </c>
      <c r="AA13" s="25">
        <f t="shared" si="5"/>
        <v>2194.2288448275867</v>
      </c>
      <c r="AC13" s="26">
        <f>'Student Enrollment Data'!BU14</f>
        <v>92</v>
      </c>
      <c r="AD13" s="26">
        <f t="shared" si="6"/>
        <v>170.55</v>
      </c>
      <c r="AE13" s="26">
        <f>AD13*'Front page'!$B$16</f>
        <v>3.4110000000000005</v>
      </c>
      <c r="AG13" s="6">
        <f>M13*'Front page'!$E$3</f>
        <v>7225847.8521301076</v>
      </c>
      <c r="AH13" s="6">
        <f>N13*'Front page'!$E$3</f>
        <v>191291.13487169417</v>
      </c>
      <c r="AI13" s="6">
        <f>O13*'Front page'!$E$3</f>
        <v>233447.20999845731</v>
      </c>
      <c r="AJ13" s="6">
        <f>P13*'Front page'!$E$3</f>
        <v>503966.34535964602</v>
      </c>
      <c r="AK13" s="6">
        <f>Q13*'Front page'!$E$3</f>
        <v>256749.56308360276</v>
      </c>
      <c r="AL13" s="6">
        <f>S13*'Front page'!$E$3</f>
        <v>77533.283901483999</v>
      </c>
      <c r="AM13" s="5">
        <f>Z13*'Front page'!$E$3</f>
        <v>0</v>
      </c>
      <c r="AN13" s="6">
        <f>T13*'Front page'!$E$3</f>
        <v>14451.695704260217</v>
      </c>
      <c r="AO13" s="6">
        <f>U13*'Front page'!$E$3</f>
        <v>722584.78521301155</v>
      </c>
      <c r="AP13" s="6">
        <f>W13*'Front page'!$E$3</f>
        <v>70618.182789243263</v>
      </c>
      <c r="AQ13" s="6">
        <f>V13*'Front page'!$E$3</f>
        <v>0</v>
      </c>
      <c r="AR13" s="6">
        <f>X13*'Front page'!$E$3</f>
        <v>0</v>
      </c>
      <c r="AS13" s="6">
        <f t="shared" si="7"/>
        <v>9296490.053051509</v>
      </c>
      <c r="AT13" s="7">
        <f>IF(AS13&gt;'Funding Comparison'!D13*(1+'Front page'!$H$10),'Funding Comparison'!D13*(1+'Front page'!$H$10),AS13)</f>
        <v>9296490.053051509</v>
      </c>
    </row>
    <row r="14" spans="1:46">
      <c r="A14" t="str">
        <f t="shared" si="0"/>
        <v>055</v>
      </c>
      <c r="B14">
        <f t="shared" si="2"/>
        <v>55</v>
      </c>
      <c r="C14" s="15" t="s">
        <v>23</v>
      </c>
      <c r="D14">
        <f>IF(settings!$G$4=0,'Student Enrollment Data'!AX15,'Student Enrollment Data'!CK15)</f>
        <v>3646.5</v>
      </c>
      <c r="E14">
        <f>IF(settings!$G$4=0,'Student Enrollment Data'!AY15,'Student Enrollment Data'!CL15)</f>
        <v>889.5</v>
      </c>
      <c r="F14">
        <f>IF(settings!$G$4=0,'Student Enrollment Data'!AZ15,'Student Enrollment Data'!CM15)</f>
        <v>1241</v>
      </c>
      <c r="G14" s="25">
        <f>'Student Enrollment Data'!BK15</f>
        <v>464</v>
      </c>
      <c r="H14">
        <f>'Student Enrollment Data'!BF15</f>
        <v>2259</v>
      </c>
      <c r="I14">
        <f>SUM('Student Enrollment Data'!R15:X15,'Student Enrollment Data'!AQ15:AW15)</f>
        <v>178.30824167275807</v>
      </c>
      <c r="J14">
        <f>'Student Enrollment Data'!BS15</f>
        <v>515</v>
      </c>
      <c r="K14">
        <f t="shared" si="3"/>
        <v>364.65000000000003</v>
      </c>
      <c r="M14" s="30">
        <f t="shared" si="1"/>
        <v>3646.5</v>
      </c>
      <c r="N14" s="30">
        <f>E14*'Front page'!$B$20</f>
        <v>88.95</v>
      </c>
      <c r="O14" s="30">
        <f>F14*'Front page'!$B$21</f>
        <v>124.10000000000001</v>
      </c>
      <c r="P14">
        <f>G14*'Front page'!$B$18</f>
        <v>301.60000000000002</v>
      </c>
      <c r="Q14" s="30">
        <f>IF(settings!$B$4=0,Calculations!H14,Calculations!I14) *'Front page'!$B$11</f>
        <v>225.9</v>
      </c>
      <c r="R14" s="31">
        <f>ROUND(I14*'Front page'!$B$9,2)</f>
        <v>0</v>
      </c>
      <c r="S14" s="30">
        <f>J14*'Front page'!$B$14</f>
        <v>51.5</v>
      </c>
      <c r="T14" s="103">
        <f>'Front page'!$B$16*Calculations!K14</f>
        <v>7.293000000000001</v>
      </c>
      <c r="U14" s="103">
        <f>IF(settings!$B$13=0,(Calculations!M14*'District Wealth Adjustment'!M13)-Calculations!M14,0)</f>
        <v>364.65000000000055</v>
      </c>
      <c r="V14" s="185">
        <f>VLOOKUP(B14,'Remote School Building Weight'!$M$2:$P$174,3,FALSE)</f>
        <v>50.857204357814403</v>
      </c>
      <c r="W14" s="25">
        <f>'Small Dist Weight'!V13-Calculations!D14</f>
        <v>0</v>
      </c>
      <c r="X14" s="25">
        <f>IF(settings!$P$9=0,'Large District Weight'!H13*'Large District Weight'!G13,0)</f>
        <v>0</v>
      </c>
      <c r="Y14" s="25">
        <f t="shared" si="4"/>
        <v>4861.3502043578137</v>
      </c>
      <c r="Z14" s="25">
        <f>IF(settings!$F$13=0,'Teacher Exp'!L14,0)</f>
        <v>8.0252181393163173</v>
      </c>
      <c r="AA14" s="25">
        <f t="shared" si="5"/>
        <v>4869.3754224971299</v>
      </c>
      <c r="AC14" s="26">
        <f>'Student Enrollment Data'!BU15</f>
        <v>210</v>
      </c>
      <c r="AD14" s="26">
        <f t="shared" si="6"/>
        <v>364.65000000000003</v>
      </c>
      <c r="AE14" s="26">
        <f>AD14*'Front page'!$B$16</f>
        <v>7.293000000000001</v>
      </c>
      <c r="AG14" s="6">
        <f>M14*'Front page'!$E$3</f>
        <v>15449460.095451443</v>
      </c>
      <c r="AH14" s="6">
        <f>N14*'Front page'!$E$3</f>
        <v>376862.60125885258</v>
      </c>
      <c r="AI14" s="6">
        <f>O14*'Front page'!$E$3</f>
        <v>525785.82143028232</v>
      </c>
      <c r="AJ14" s="6">
        <f>P14*'Front page'!$E$3</f>
        <v>1277816.3073599769</v>
      </c>
      <c r="AK14" s="6">
        <f>Q14*'Front page'!$E$3</f>
        <v>957091.19307897473</v>
      </c>
      <c r="AL14" s="6">
        <f>S14*'Front page'!$E$3</f>
        <v>218194.76070636208</v>
      </c>
      <c r="AM14" s="5">
        <f>Z14*'Front page'!$E$3</f>
        <v>34001.175757756901</v>
      </c>
      <c r="AN14" s="6">
        <f>T14*'Front page'!$E$3</f>
        <v>30898.920190902893</v>
      </c>
      <c r="AO14" s="6">
        <f>U14*'Front page'!$E$3</f>
        <v>1544946.0095451467</v>
      </c>
      <c r="AP14" s="6">
        <f>W14*'Front page'!$E$3</f>
        <v>0</v>
      </c>
      <c r="AQ14" s="6">
        <f>V14*'Front page'!$E$3</f>
        <v>215471.36961257996</v>
      </c>
      <c r="AR14" s="6">
        <f>X14*'Front page'!$E$3</f>
        <v>0</v>
      </c>
      <c r="AS14" s="6">
        <f t="shared" si="7"/>
        <v>20630528.254392281</v>
      </c>
      <c r="AT14" s="7">
        <f>IF(AS14&gt;'Funding Comparison'!D14*(1+'Front page'!$H$10),'Funding Comparison'!D14*(1+'Front page'!$H$10),AS14)</f>
        <v>20630528.254392281</v>
      </c>
    </row>
    <row r="15" spans="1:46">
      <c r="A15" t="str">
        <f t="shared" si="0"/>
        <v>058</v>
      </c>
      <c r="B15">
        <f t="shared" si="2"/>
        <v>58</v>
      </c>
      <c r="C15" s="15" t="s">
        <v>24</v>
      </c>
      <c r="D15">
        <f>IF(settings!$G$4=0,'Student Enrollment Data'!AX16,'Student Enrollment Data'!CK16)</f>
        <v>702</v>
      </c>
      <c r="E15">
        <f>IF(settings!$G$4=0,'Student Enrollment Data'!AY16,'Student Enrollment Data'!CL16)</f>
        <v>195</v>
      </c>
      <c r="F15">
        <f>IF(settings!$G$4=0,'Student Enrollment Data'!AZ16,'Student Enrollment Data'!CM16)</f>
        <v>209</v>
      </c>
      <c r="G15" s="25">
        <f>'Student Enrollment Data'!BK16</f>
        <v>127</v>
      </c>
      <c r="H15">
        <f>'Student Enrollment Data'!BF16</f>
        <v>314.31</v>
      </c>
      <c r="I15">
        <f>SUM('Student Enrollment Data'!R16:X16,'Student Enrollment Data'!AQ16:AW16)</f>
        <v>0</v>
      </c>
      <c r="J15">
        <f>'Student Enrollment Data'!BS16</f>
        <v>219</v>
      </c>
      <c r="K15">
        <f t="shared" si="3"/>
        <v>70.2</v>
      </c>
      <c r="M15" s="30">
        <f t="shared" si="1"/>
        <v>702</v>
      </c>
      <c r="N15" s="30">
        <f>E15*'Front page'!$B$20</f>
        <v>19.5</v>
      </c>
      <c r="O15" s="30">
        <f>F15*'Front page'!$B$21</f>
        <v>20.900000000000002</v>
      </c>
      <c r="P15">
        <f>G15*'Front page'!$B$18</f>
        <v>82.55</v>
      </c>
      <c r="Q15" s="30">
        <f>IF(settings!$B$4=0,Calculations!H15,Calculations!I15) *'Front page'!$B$11</f>
        <v>31.431000000000001</v>
      </c>
      <c r="R15" s="31">
        <f>ROUND(I15*'Front page'!$B$9,2)</f>
        <v>0</v>
      </c>
      <c r="S15" s="30">
        <f>J15*'Front page'!$B$14</f>
        <v>21.900000000000002</v>
      </c>
      <c r="T15" s="103">
        <f>'Front page'!$B$16*Calculations!K15</f>
        <v>1.4040000000000001</v>
      </c>
      <c r="U15" s="103">
        <f>IF(settings!$B$13=0,(Calculations!M15*'District Wealth Adjustment'!M14)-Calculations!M15,0)</f>
        <v>70.200000000000045</v>
      </c>
      <c r="V15" s="185">
        <f>VLOOKUP(B15,'Remote School Building Weight'!$M$2:$P$174,3,FALSE)</f>
        <v>0</v>
      </c>
      <c r="W15" s="25">
        <f>'Small Dist Weight'!V14-Calculations!D15</f>
        <v>148.58405172413791</v>
      </c>
      <c r="X15" s="25">
        <f>IF(settings!$P$9=0,'Large District Weight'!H14*'Large District Weight'!G14,0)</f>
        <v>0</v>
      </c>
      <c r="Y15" s="25">
        <f t="shared" si="4"/>
        <v>1098.4690517241379</v>
      </c>
      <c r="Z15" s="25">
        <f>IF(settings!$F$13=0,'Teacher Exp'!L15,0)</f>
        <v>1.2293427103186887</v>
      </c>
      <c r="AA15" s="25">
        <f t="shared" si="5"/>
        <v>1099.6983944344565</v>
      </c>
      <c r="AC15" s="26">
        <f>'Student Enrollment Data'!BU16</f>
        <v>31</v>
      </c>
      <c r="AD15" s="26">
        <f t="shared" si="6"/>
        <v>70.2</v>
      </c>
      <c r="AE15" s="26">
        <f>AD15*'Front page'!$B$16</f>
        <v>1.4040000000000001</v>
      </c>
      <c r="AG15" s="6">
        <f>M15*'Front page'!$E$3</f>
        <v>2974227.6119585666</v>
      </c>
      <c r="AH15" s="6">
        <f>N15*'Front page'!$E$3</f>
        <v>82617.433665515739</v>
      </c>
      <c r="AI15" s="6">
        <f>O15*'Front page'!$E$3</f>
        <v>88548.94172355278</v>
      </c>
      <c r="AJ15" s="6">
        <f>P15*'Front page'!$E$3</f>
        <v>349747.13585068326</v>
      </c>
      <c r="AK15" s="6">
        <f>Q15*'Front page'!$E$3</f>
        <v>133166.5926944013</v>
      </c>
      <c r="AL15" s="6">
        <f>S15*'Front page'!$E$3</f>
        <v>92785.733193579232</v>
      </c>
      <c r="AM15" s="5">
        <f>Z15*'Front page'!$E$3</f>
        <v>5208.4687088174151</v>
      </c>
      <c r="AN15" s="6">
        <f>T15*'Front page'!$E$3</f>
        <v>5948.4552239171335</v>
      </c>
      <c r="AO15" s="6">
        <f>U15*'Front page'!$E$3</f>
        <v>297422.76119585685</v>
      </c>
      <c r="AP15" s="6">
        <f>W15*'Front page'!$E$3</f>
        <v>629519.64292679611</v>
      </c>
      <c r="AQ15" s="6">
        <f>V15*'Front page'!$E$3</f>
        <v>0</v>
      </c>
      <c r="AR15" s="6">
        <f>X15*'Front page'!$E$3</f>
        <v>0</v>
      </c>
      <c r="AS15" s="6">
        <f t="shared" si="7"/>
        <v>4659192.7771416865</v>
      </c>
      <c r="AT15" s="7">
        <f>IF(AS15&gt;'Funding Comparison'!D15*(1+'Front page'!$H$10),'Funding Comparison'!D15*(1+'Front page'!$H$10),AS15)</f>
        <v>4591673.1817500005</v>
      </c>
    </row>
    <row r="16" spans="1:46">
      <c r="A16" t="str">
        <f t="shared" si="0"/>
        <v>059</v>
      </c>
      <c r="B16">
        <f t="shared" si="2"/>
        <v>59</v>
      </c>
      <c r="C16" s="15" t="s">
        <v>25</v>
      </c>
      <c r="D16">
        <f>IF(settings!$G$4=0,'Student Enrollment Data'!AX17,'Student Enrollment Data'!CK17)</f>
        <v>811</v>
      </c>
      <c r="E16">
        <f>IF(settings!$G$4=0,'Student Enrollment Data'!AY17,'Student Enrollment Data'!CL17)</f>
        <v>227</v>
      </c>
      <c r="F16">
        <f>IF(settings!$G$4=0,'Student Enrollment Data'!AZ17,'Student Enrollment Data'!CM17)</f>
        <v>248</v>
      </c>
      <c r="G16" s="25">
        <f>'Student Enrollment Data'!BK17</f>
        <v>58</v>
      </c>
      <c r="H16">
        <f>'Student Enrollment Data'!BF17</f>
        <v>397</v>
      </c>
      <c r="I16">
        <f>SUM('Student Enrollment Data'!R17:X17,'Student Enrollment Data'!AQ17:AW17)</f>
        <v>0</v>
      </c>
      <c r="J16">
        <f>'Student Enrollment Data'!BS17</f>
        <v>0</v>
      </c>
      <c r="K16">
        <f t="shared" si="3"/>
        <v>81.100000000000009</v>
      </c>
      <c r="M16" s="30">
        <f t="shared" si="1"/>
        <v>811</v>
      </c>
      <c r="N16" s="30">
        <f>E16*'Front page'!$B$20</f>
        <v>22.700000000000003</v>
      </c>
      <c r="O16" s="30">
        <f>F16*'Front page'!$B$21</f>
        <v>24.8</v>
      </c>
      <c r="P16">
        <f>G16*'Front page'!$B$18</f>
        <v>37.700000000000003</v>
      </c>
      <c r="Q16" s="30">
        <f>IF(settings!$B$4=0,Calculations!H16,Calculations!I16) *'Front page'!$B$11</f>
        <v>39.700000000000003</v>
      </c>
      <c r="R16" s="31">
        <f>ROUND(I16*'Front page'!$B$9,2)</f>
        <v>0</v>
      </c>
      <c r="S16" s="30">
        <f>J16*'Front page'!$B$14</f>
        <v>0</v>
      </c>
      <c r="T16" s="103">
        <f>'Front page'!$B$16*Calculations!K16</f>
        <v>1.6220000000000001</v>
      </c>
      <c r="U16" s="103">
        <f>IF(settings!$B$13=0,(Calculations!M16*'District Wealth Adjustment'!M15)-Calculations!M16,0)</f>
        <v>81.100000000000023</v>
      </c>
      <c r="V16" s="185">
        <f>VLOOKUP(B16,'Remote School Building Weight'!$M$2:$P$174,3,FALSE)</f>
        <v>0</v>
      </c>
      <c r="W16" s="25">
        <f>'Small Dist Weight'!V15-Calculations!D16</f>
        <v>134.14655172413791</v>
      </c>
      <c r="X16" s="25">
        <f>IF(settings!$P$9=0,'Large District Weight'!H15*'Large District Weight'!G15,0)</f>
        <v>0</v>
      </c>
      <c r="Y16" s="25">
        <f t="shared" si="4"/>
        <v>1152.768551724138</v>
      </c>
      <c r="Z16" s="25">
        <f>IF(settings!$F$13=0,'Teacher Exp'!L16,0)</f>
        <v>34.43327991308805</v>
      </c>
      <c r="AA16" s="25">
        <f t="shared" si="5"/>
        <v>1187.201831637226</v>
      </c>
      <c r="AC16" s="26">
        <f>'Student Enrollment Data'!BU17</f>
        <v>0</v>
      </c>
      <c r="AD16" s="26">
        <f t="shared" si="6"/>
        <v>81.100000000000009</v>
      </c>
      <c r="AE16" s="26">
        <f>AD16*'Front page'!$B$16</f>
        <v>1.6220000000000001</v>
      </c>
      <c r="AG16" s="6">
        <f>M16*'Front page'!$E$3</f>
        <v>3436037.8821914494</v>
      </c>
      <c r="AH16" s="6">
        <f>N16*'Front page'!$E$3</f>
        <v>96175.166369600382</v>
      </c>
      <c r="AI16" s="6">
        <f>O16*'Front page'!$E$3</f>
        <v>105072.42845665592</v>
      </c>
      <c r="AJ16" s="6">
        <f>P16*'Front page'!$E$3</f>
        <v>159727.03841999712</v>
      </c>
      <c r="AK16" s="6">
        <f>Q16*'Front page'!$E$3</f>
        <v>168200.62136005002</v>
      </c>
      <c r="AL16" s="6">
        <f>S16*'Front page'!$E$3</f>
        <v>0</v>
      </c>
      <c r="AM16" s="5">
        <f>Z16*'Front page'!$E$3</f>
        <v>145886.62662080448</v>
      </c>
      <c r="AN16" s="6">
        <f>T16*'Front page'!$E$3</f>
        <v>6872.0757643828993</v>
      </c>
      <c r="AO16" s="6">
        <f>U16*'Front page'!$E$3</f>
        <v>343603.78821914503</v>
      </c>
      <c r="AP16" s="6">
        <f>W16*'Front page'!$E$3</f>
        <v>568350.9660782892</v>
      </c>
      <c r="AQ16" s="6">
        <f>V16*'Front page'!$E$3</f>
        <v>0</v>
      </c>
      <c r="AR16" s="6">
        <f>X16*'Front page'!$E$3</f>
        <v>0</v>
      </c>
      <c r="AS16" s="6">
        <f t="shared" si="7"/>
        <v>5029926.5934803737</v>
      </c>
      <c r="AT16" s="7">
        <f>IF(AS16&gt;'Funding Comparison'!D16*(1+'Front page'!$H$10),'Funding Comparison'!D16*(1+'Front page'!$H$10),AS16)</f>
        <v>4864242.0547500001</v>
      </c>
    </row>
    <row r="17" spans="1:46">
      <c r="A17" t="str">
        <f t="shared" si="0"/>
        <v>060</v>
      </c>
      <c r="B17">
        <f t="shared" si="2"/>
        <v>60</v>
      </c>
      <c r="C17" s="15" t="s">
        <v>26</v>
      </c>
      <c r="D17">
        <f>IF(settings!$G$4=0,'Student Enrollment Data'!AX18,'Student Enrollment Data'!CK18)</f>
        <v>2241</v>
      </c>
      <c r="E17">
        <f>IF(settings!$G$4=0,'Student Enrollment Data'!AY18,'Student Enrollment Data'!CL18)</f>
        <v>652</v>
      </c>
      <c r="F17">
        <f>IF(settings!$G$4=0,'Student Enrollment Data'!AZ18,'Student Enrollment Data'!CM18)</f>
        <v>657</v>
      </c>
      <c r="G17" s="25">
        <f>'Student Enrollment Data'!BK18</f>
        <v>244</v>
      </c>
      <c r="H17">
        <f>'Student Enrollment Data'!BF18</f>
        <v>1013</v>
      </c>
      <c r="I17">
        <f>SUM('Student Enrollment Data'!R18:X18,'Student Enrollment Data'!AQ18:AW18)</f>
        <v>0</v>
      </c>
      <c r="J17">
        <f>'Student Enrollment Data'!BS18</f>
        <v>109</v>
      </c>
      <c r="K17">
        <f t="shared" si="3"/>
        <v>224.10000000000002</v>
      </c>
      <c r="M17" s="30">
        <f t="shared" si="1"/>
        <v>2241</v>
      </c>
      <c r="N17" s="30">
        <f>E17*'Front page'!$B$20</f>
        <v>65.2</v>
      </c>
      <c r="O17" s="30">
        <f>F17*'Front page'!$B$21</f>
        <v>65.7</v>
      </c>
      <c r="P17">
        <f>G17*'Front page'!$B$18</f>
        <v>158.6</v>
      </c>
      <c r="Q17" s="30">
        <f>IF(settings!$B$4=0,Calculations!H17,Calculations!I17) *'Front page'!$B$11</f>
        <v>101.30000000000001</v>
      </c>
      <c r="R17" s="31">
        <f>ROUND(I17*'Front page'!$B$9,2)</f>
        <v>0</v>
      </c>
      <c r="S17" s="30">
        <f>J17*'Front page'!$B$14</f>
        <v>10.9</v>
      </c>
      <c r="T17" s="103">
        <f>'Front page'!$B$16*Calculations!K17</f>
        <v>4.4820000000000002</v>
      </c>
      <c r="U17" s="103">
        <f>IF(settings!$B$13=0,(Calculations!M17*'District Wealth Adjustment'!M16)-Calculations!M17,0)</f>
        <v>224.10000000000036</v>
      </c>
      <c r="V17" s="185">
        <f>VLOOKUP(B17,'Remote School Building Weight'!$M$2:$P$174,3,FALSE)</f>
        <v>0</v>
      </c>
      <c r="W17" s="25">
        <f>'Small Dist Weight'!V16-Calculations!D17</f>
        <v>0</v>
      </c>
      <c r="X17" s="25">
        <f>IF(settings!$P$9=0,'Large District Weight'!H16*'Large District Weight'!G16,0)</f>
        <v>0</v>
      </c>
      <c r="Y17" s="25">
        <f t="shared" si="4"/>
        <v>2871.2820000000002</v>
      </c>
      <c r="Z17" s="25">
        <f>IF(settings!$F$13=0,'Teacher Exp'!L17,0)</f>
        <v>0</v>
      </c>
      <c r="AA17" s="25">
        <f t="shared" si="5"/>
        <v>2871.2820000000002</v>
      </c>
      <c r="AC17" s="26">
        <f>'Student Enrollment Data'!BU18</f>
        <v>99</v>
      </c>
      <c r="AD17" s="26">
        <f t="shared" si="6"/>
        <v>224.10000000000002</v>
      </c>
      <c r="AE17" s="26">
        <f>AD17*'Front page'!$B$16</f>
        <v>4.4820000000000002</v>
      </c>
      <c r="AG17" s="6">
        <f>M17*'Front page'!$E$3</f>
        <v>9494649.6843292713</v>
      </c>
      <c r="AH17" s="6">
        <f>N17*'Front page'!$E$3</f>
        <v>276238.80384572444</v>
      </c>
      <c r="AI17" s="6">
        <f>O17*'Front page'!$E$3</f>
        <v>278357.19958073768</v>
      </c>
      <c r="AJ17" s="6">
        <f>P17*'Front page'!$E$3</f>
        <v>671955.12714619469</v>
      </c>
      <c r="AK17" s="6">
        <f>Q17*'Front page'!$E$3</f>
        <v>429186.97591367923</v>
      </c>
      <c r="AL17" s="6">
        <f>S17*'Front page'!$E$3</f>
        <v>46181.02702328829</v>
      </c>
      <c r="AM17" s="5">
        <f>Z17*'Front page'!$E$3</f>
        <v>0</v>
      </c>
      <c r="AN17" s="6">
        <f>T17*'Front page'!$E$3</f>
        <v>18989.299368658543</v>
      </c>
      <c r="AO17" s="6">
        <f>U17*'Front page'!$E$3</f>
        <v>949464.96843292855</v>
      </c>
      <c r="AP17" s="6">
        <f>W17*'Front page'!$E$3</f>
        <v>0</v>
      </c>
      <c r="AQ17" s="6">
        <f>V17*'Front page'!$E$3</f>
        <v>0</v>
      </c>
      <c r="AR17" s="6">
        <f>X17*'Front page'!$E$3</f>
        <v>0</v>
      </c>
      <c r="AS17" s="6">
        <f t="shared" si="7"/>
        <v>12165023.085640484</v>
      </c>
      <c r="AT17" s="7">
        <f>IF(AS17&gt;'Funding Comparison'!D17*(1+'Front page'!$H$10),'Funding Comparison'!D17*(1+'Front page'!$H$10),AS17)</f>
        <v>12042309.36875</v>
      </c>
    </row>
    <row r="18" spans="1:46">
      <c r="A18" t="str">
        <f t="shared" si="0"/>
        <v>061</v>
      </c>
      <c r="B18">
        <f t="shared" si="2"/>
        <v>61</v>
      </c>
      <c r="C18" s="15" t="s">
        <v>27</v>
      </c>
      <c r="D18">
        <f>IF(settings!$G$4=0,'Student Enrollment Data'!AX19,'Student Enrollment Data'!CK19)</f>
        <v>3258.5</v>
      </c>
      <c r="E18">
        <f>IF(settings!$G$4=0,'Student Enrollment Data'!AY19,'Student Enrollment Data'!CL19)</f>
        <v>791.5</v>
      </c>
      <c r="F18">
        <f>IF(settings!$G$4=0,'Student Enrollment Data'!AZ19,'Student Enrollment Data'!CM19)</f>
        <v>1065</v>
      </c>
      <c r="G18" s="25">
        <f>'Student Enrollment Data'!BK19</f>
        <v>410</v>
      </c>
      <c r="H18">
        <f>'Student Enrollment Data'!BF19</f>
        <v>988</v>
      </c>
      <c r="I18">
        <f>SUM('Student Enrollment Data'!R19:X19,'Student Enrollment Data'!AQ19:AW19)</f>
        <v>52.775182280470588</v>
      </c>
      <c r="J18">
        <f>'Student Enrollment Data'!BS19</f>
        <v>773</v>
      </c>
      <c r="K18">
        <f t="shared" si="3"/>
        <v>325.85000000000002</v>
      </c>
      <c r="M18" s="30">
        <f t="shared" si="1"/>
        <v>3258.5</v>
      </c>
      <c r="N18" s="30">
        <f>E18*'Front page'!$B$20</f>
        <v>79.150000000000006</v>
      </c>
      <c r="O18" s="30">
        <f>F18*'Front page'!$B$21</f>
        <v>106.5</v>
      </c>
      <c r="P18">
        <f>G18*'Front page'!$B$18</f>
        <v>266.5</v>
      </c>
      <c r="Q18" s="30">
        <f>IF(settings!$B$4=0,Calculations!H18,Calculations!I18) *'Front page'!$B$11</f>
        <v>98.800000000000011</v>
      </c>
      <c r="R18" s="31">
        <f>ROUND(I18*'Front page'!$B$9,2)</f>
        <v>0</v>
      </c>
      <c r="S18" s="30">
        <f>J18*'Front page'!$B$14</f>
        <v>77.300000000000011</v>
      </c>
      <c r="T18" s="103">
        <f>'Front page'!$B$16*Calculations!K18</f>
        <v>6.5170000000000003</v>
      </c>
      <c r="U18" s="103">
        <f>IF(settings!$B$13=0,(Calculations!M18*'District Wealth Adjustment'!M17)-Calculations!M18,0)</f>
        <v>0</v>
      </c>
      <c r="V18" s="185">
        <f>VLOOKUP(B18,'Remote School Building Weight'!$M$2:$P$174,3,FALSE)</f>
        <v>35.242585078586131</v>
      </c>
      <c r="W18" s="25">
        <f>'Small Dist Weight'!V17-Calculations!D18</f>
        <v>0</v>
      </c>
      <c r="X18" s="25">
        <f>IF(settings!$P$9=0,'Large District Weight'!H17*'Large District Weight'!G17,0)</f>
        <v>0</v>
      </c>
      <c r="Y18" s="25">
        <f t="shared" si="4"/>
        <v>3928.5095850785865</v>
      </c>
      <c r="Z18" s="25">
        <f>IF(settings!$F$13=0,'Teacher Exp'!L18,0)</f>
        <v>41.53481765590729</v>
      </c>
      <c r="AA18" s="25">
        <f t="shared" si="5"/>
        <v>3970.0444027344938</v>
      </c>
      <c r="AC18" s="26">
        <f>'Student Enrollment Data'!BU19</f>
        <v>249</v>
      </c>
      <c r="AD18" s="26">
        <f t="shared" si="6"/>
        <v>325.85000000000002</v>
      </c>
      <c r="AE18" s="26">
        <f>AD18*'Front page'!$B$16</f>
        <v>6.5170000000000003</v>
      </c>
      <c r="AG18" s="6">
        <f>M18*'Front page'!$E$3</f>
        <v>13805585.005081182</v>
      </c>
      <c r="AH18" s="6">
        <f>N18*'Front page'!$E$3</f>
        <v>335342.04485259339</v>
      </c>
      <c r="AI18" s="6">
        <f>O18*'Front page'!$E$3</f>
        <v>451218.29155781673</v>
      </c>
      <c r="AJ18" s="6">
        <f>P18*'Front page'!$E$3</f>
        <v>1129104.9267620484</v>
      </c>
      <c r="AK18" s="6">
        <f>Q18*'Front page'!$E$3</f>
        <v>418594.99723861314</v>
      </c>
      <c r="AL18" s="6">
        <f>S18*'Front page'!$E$3</f>
        <v>327503.9806330445</v>
      </c>
      <c r="AM18" s="5">
        <f>Z18*'Front page'!$E$3</f>
        <v>175974.36115365193</v>
      </c>
      <c r="AN18" s="6">
        <f>T18*'Front page'!$E$3</f>
        <v>27611.170010162365</v>
      </c>
      <c r="AO18" s="6">
        <f>U18*'Front page'!$E$3</f>
        <v>0</v>
      </c>
      <c r="AP18" s="6">
        <f>W18*'Front page'!$E$3</f>
        <v>0</v>
      </c>
      <c r="AQ18" s="6">
        <f>V18*'Front page'!$E$3</f>
        <v>149315.48384263509</v>
      </c>
      <c r="AR18" s="6">
        <f>X18*'Front page'!$E$3</f>
        <v>0</v>
      </c>
      <c r="AS18" s="6">
        <f t="shared" si="7"/>
        <v>16820250.261131749</v>
      </c>
      <c r="AT18" s="7">
        <f>IF(AS18&gt;'Funding Comparison'!D18*(1+'Front page'!$H$10),'Funding Comparison'!D18*(1+'Front page'!$H$10),AS18)</f>
        <v>16820250.261131749</v>
      </c>
    </row>
    <row r="19" spans="1:46">
      <c r="A19" t="str">
        <f t="shared" si="0"/>
        <v>071</v>
      </c>
      <c r="B19">
        <f t="shared" si="2"/>
        <v>71</v>
      </c>
      <c r="C19" s="15" t="s">
        <v>28</v>
      </c>
      <c r="D19">
        <f>IF(settings!$G$4=0,'Student Enrollment Data'!AX20,'Student Enrollment Data'!CK20)</f>
        <v>239</v>
      </c>
      <c r="E19">
        <f>IF(settings!$G$4=0,'Student Enrollment Data'!AY20,'Student Enrollment Data'!CL20)</f>
        <v>68</v>
      </c>
      <c r="F19">
        <f>IF(settings!$G$4=0,'Student Enrollment Data'!AZ20,'Student Enrollment Data'!CM20)</f>
        <v>68</v>
      </c>
      <c r="G19" s="25">
        <f>'Student Enrollment Data'!BK20</f>
        <v>32</v>
      </c>
      <c r="H19">
        <f>'Student Enrollment Data'!BF20</f>
        <v>107</v>
      </c>
      <c r="I19">
        <f>SUM('Student Enrollment Data'!R20:X20,'Student Enrollment Data'!AQ20:AW20)</f>
        <v>0</v>
      </c>
      <c r="J19">
        <f>'Student Enrollment Data'!BS20</f>
        <v>0</v>
      </c>
      <c r="K19">
        <f t="shared" si="3"/>
        <v>23.900000000000002</v>
      </c>
      <c r="M19" s="30">
        <f t="shared" si="1"/>
        <v>239</v>
      </c>
      <c r="N19" s="30">
        <f>E19*'Front page'!$B$20</f>
        <v>6.8000000000000007</v>
      </c>
      <c r="O19" s="30">
        <f>F19*'Front page'!$B$21</f>
        <v>6.8000000000000007</v>
      </c>
      <c r="P19">
        <f>G19*'Front page'!$B$18</f>
        <v>20.8</v>
      </c>
      <c r="Q19" s="30">
        <f>IF(settings!$B$4=0,Calculations!H19,Calculations!I19) *'Front page'!$B$11</f>
        <v>10.700000000000001</v>
      </c>
      <c r="R19" s="31">
        <f>ROUND(I19*'Front page'!$B$9,2)</f>
        <v>0</v>
      </c>
      <c r="S19" s="30">
        <f>J19*'Front page'!$B$14</f>
        <v>0</v>
      </c>
      <c r="T19" s="103">
        <f>'Front page'!$B$16*Calculations!K19</f>
        <v>0.47800000000000004</v>
      </c>
      <c r="U19" s="103">
        <f>IF(settings!$B$13=0,(Calculations!M19*'District Wealth Adjustment'!M18)-Calculations!M19,0)</f>
        <v>0</v>
      </c>
      <c r="V19" s="185">
        <f>VLOOKUP(B19,'Remote School Building Weight'!$M$2:$P$174,3,FALSE)</f>
        <v>5.3832413793103493</v>
      </c>
      <c r="W19" s="25">
        <f>'Small Dist Weight'!V18-Calculations!D19</f>
        <v>147.06336206896549</v>
      </c>
      <c r="X19" s="25">
        <f>IF(settings!$P$9=0,'Large District Weight'!H18*'Large District Weight'!G18,0)</f>
        <v>0</v>
      </c>
      <c r="Y19" s="25">
        <f t="shared" si="4"/>
        <v>437.02460344827585</v>
      </c>
      <c r="Z19" s="25">
        <f>IF(settings!$F$13=0,'Teacher Exp'!L19,0)</f>
        <v>14.638981684442003</v>
      </c>
      <c r="AA19" s="25">
        <f t="shared" si="5"/>
        <v>451.66358513271786</v>
      </c>
      <c r="AC19" s="26">
        <f>'Student Enrollment Data'!BU20</f>
        <v>4</v>
      </c>
      <c r="AD19" s="26">
        <f t="shared" si="6"/>
        <v>23.900000000000002</v>
      </c>
      <c r="AE19" s="26">
        <f>AD19*'Front page'!$B$16</f>
        <v>0.47800000000000004</v>
      </c>
      <c r="AG19" s="6">
        <f>M19*'Front page'!$E$3</f>
        <v>1012593.1613363212</v>
      </c>
      <c r="AH19" s="6">
        <f>N19*'Front page'!$E$3</f>
        <v>28810.18199617985</v>
      </c>
      <c r="AI19" s="6">
        <f>O19*'Front page'!$E$3</f>
        <v>28810.18199617985</v>
      </c>
      <c r="AJ19" s="6">
        <f>P19*'Front page'!$E$3</f>
        <v>88125.262576550129</v>
      </c>
      <c r="AK19" s="6">
        <f>Q19*'Front page'!$E$3</f>
        <v>45333.668729283003</v>
      </c>
      <c r="AL19" s="6">
        <f>S19*'Front page'!$E$3</f>
        <v>0</v>
      </c>
      <c r="AM19" s="5">
        <f>Z19*'Front page'!$E$3</f>
        <v>62022.312730517282</v>
      </c>
      <c r="AN19" s="6">
        <f>T19*'Front page'!$E$3</f>
        <v>2025.1863226726423</v>
      </c>
      <c r="AO19" s="6">
        <f>U19*'Front page'!$E$3</f>
        <v>0</v>
      </c>
      <c r="AP19" s="6">
        <f>W19*'Front page'!$E$3</f>
        <v>623076.79796720413</v>
      </c>
      <c r="AQ19" s="6">
        <f>V19*'Front page'!$E$3</f>
        <v>22807.671156955501</v>
      </c>
      <c r="AR19" s="6">
        <f>X19*'Front page'!$E$3</f>
        <v>0</v>
      </c>
      <c r="AS19" s="6">
        <f t="shared" si="7"/>
        <v>1913604.4248118636</v>
      </c>
      <c r="AT19" s="7">
        <f>IF(AS19&gt;'Funding Comparison'!D19*(1+'Front page'!$H$10),'Funding Comparison'!D19*(1+'Front page'!$H$10),AS19)</f>
        <v>1913604.4248118636</v>
      </c>
    </row>
    <row r="20" spans="1:46">
      <c r="A20" t="str">
        <f t="shared" si="0"/>
        <v>072</v>
      </c>
      <c r="B20">
        <f t="shared" si="2"/>
        <v>72</v>
      </c>
      <c r="C20" s="15" t="s">
        <v>29</v>
      </c>
      <c r="D20">
        <f>IF(settings!$G$4=0,'Student Enrollment Data'!AX21,'Student Enrollment Data'!CK21)</f>
        <v>327.5</v>
      </c>
      <c r="E20">
        <f>IF(settings!$G$4=0,'Student Enrollment Data'!AY21,'Student Enrollment Data'!CL21)</f>
        <v>67.5</v>
      </c>
      <c r="F20">
        <f>IF(settings!$G$4=0,'Student Enrollment Data'!AZ21,'Student Enrollment Data'!CM21)</f>
        <v>133</v>
      </c>
      <c r="G20" s="25">
        <f>'Student Enrollment Data'!BK21</f>
        <v>45</v>
      </c>
      <c r="H20">
        <f>'Student Enrollment Data'!BF21</f>
        <v>127</v>
      </c>
      <c r="I20">
        <f>SUM('Student Enrollment Data'!R21:X21,'Student Enrollment Data'!AQ21:AW21)</f>
        <v>0</v>
      </c>
      <c r="J20">
        <f>'Student Enrollment Data'!BS21</f>
        <v>0</v>
      </c>
      <c r="K20">
        <f t="shared" si="3"/>
        <v>32.75</v>
      </c>
      <c r="M20" s="30">
        <f t="shared" si="1"/>
        <v>327.5</v>
      </c>
      <c r="N20" s="30">
        <f>E20*'Front page'!$B$20</f>
        <v>6.75</v>
      </c>
      <c r="O20" s="30">
        <f>F20*'Front page'!$B$21</f>
        <v>13.3</v>
      </c>
      <c r="P20">
        <f>G20*'Front page'!$B$18</f>
        <v>29.25</v>
      </c>
      <c r="Q20" s="30">
        <f>IF(settings!$B$4=0,Calculations!H20,Calculations!I20) *'Front page'!$B$11</f>
        <v>12.700000000000001</v>
      </c>
      <c r="R20" s="31">
        <f>ROUND(I20*'Front page'!$B$9,2)</f>
        <v>0</v>
      </c>
      <c r="S20" s="30">
        <f>J20*'Front page'!$B$14</f>
        <v>0</v>
      </c>
      <c r="T20" s="103">
        <f>'Front page'!$B$16*Calculations!K20</f>
        <v>0.65500000000000003</v>
      </c>
      <c r="U20" s="103">
        <f>IF(settings!$B$13=0,(Calculations!M20*'District Wealth Adjustment'!M19)-Calculations!M20,0)</f>
        <v>0</v>
      </c>
      <c r="V20" s="185">
        <f>VLOOKUP(B20,'Remote School Building Weight'!$M$2:$P$174,3,FALSE)</f>
        <v>0</v>
      </c>
      <c r="W20" s="25">
        <f>'Small Dist Weight'!V19-Calculations!D20</f>
        <v>186.35422217868336</v>
      </c>
      <c r="X20" s="25">
        <f>IF(settings!$P$9=0,'Large District Weight'!H19*'Large District Weight'!G19,0)</f>
        <v>0</v>
      </c>
      <c r="Y20" s="25">
        <f t="shared" si="4"/>
        <v>576.50922217868333</v>
      </c>
      <c r="Z20" s="25">
        <f>IF(settings!$F$13=0,'Teacher Exp'!L20,0)</f>
        <v>0</v>
      </c>
      <c r="AA20" s="25">
        <f t="shared" si="5"/>
        <v>576.50922217868333</v>
      </c>
      <c r="AC20" s="26">
        <f>'Student Enrollment Data'!BU21</f>
        <v>6</v>
      </c>
      <c r="AD20" s="26">
        <f t="shared" si="6"/>
        <v>32.75</v>
      </c>
      <c r="AE20" s="26">
        <f>AD20*'Front page'!$B$16</f>
        <v>0.65500000000000003</v>
      </c>
      <c r="AG20" s="6">
        <f>M20*'Front page'!$E$3</f>
        <v>1387549.2064336617</v>
      </c>
      <c r="AH20" s="6">
        <f>N20*'Front page'!$E$3</f>
        <v>28598.342422678525</v>
      </c>
      <c r="AI20" s="6">
        <f>O20*'Front page'!$E$3</f>
        <v>56349.326551351762</v>
      </c>
      <c r="AJ20" s="6">
        <f>P20*'Front page'!$E$3</f>
        <v>123926.15049827361</v>
      </c>
      <c r="AK20" s="6">
        <f>Q20*'Front page'!$E$3</f>
        <v>53807.251669335899</v>
      </c>
      <c r="AL20" s="6">
        <f>S20*'Front page'!$E$3</f>
        <v>0</v>
      </c>
      <c r="AM20" s="5">
        <f>Z20*'Front page'!$E$3</f>
        <v>0</v>
      </c>
      <c r="AN20" s="6">
        <f>T20*'Front page'!$E$3</f>
        <v>2775.0984128673235</v>
      </c>
      <c r="AO20" s="6">
        <f>U20*'Front page'!$E$3</f>
        <v>0</v>
      </c>
      <c r="AP20" s="6">
        <f>W20*'Front page'!$E$3</f>
        <v>789543.97893005924</v>
      </c>
      <c r="AQ20" s="6">
        <f>V20*'Front page'!$E$3</f>
        <v>0</v>
      </c>
      <c r="AR20" s="6">
        <f>X20*'Front page'!$E$3</f>
        <v>0</v>
      </c>
      <c r="AS20" s="6">
        <f t="shared" si="7"/>
        <v>2442549.354918228</v>
      </c>
      <c r="AT20" s="7">
        <f>IF(AS20&gt;'Funding Comparison'!D20*(1+'Front page'!$H$10),'Funding Comparison'!D20*(1+'Front page'!$H$10),AS20)</f>
        <v>2442549.354918228</v>
      </c>
    </row>
    <row r="21" spans="1:46">
      <c r="A21" t="str">
        <f t="shared" si="0"/>
        <v>073</v>
      </c>
      <c r="B21">
        <f t="shared" si="2"/>
        <v>73</v>
      </c>
      <c r="C21" s="15" t="s">
        <v>30</v>
      </c>
      <c r="D21">
        <f>IF(settings!$G$4=0,'Student Enrollment Data'!AX22,'Student Enrollment Data'!CK22)</f>
        <v>220</v>
      </c>
      <c r="E21">
        <f>IF(settings!$G$4=0,'Student Enrollment Data'!AY22,'Student Enrollment Data'!CL22)</f>
        <v>55</v>
      </c>
      <c r="F21">
        <f>IF(settings!$G$4=0,'Student Enrollment Data'!AZ22,'Student Enrollment Data'!CM22)</f>
        <v>76</v>
      </c>
      <c r="G21" s="25">
        <f>'Student Enrollment Data'!BK22</f>
        <v>35</v>
      </c>
      <c r="H21">
        <f>'Student Enrollment Data'!BF22</f>
        <v>95</v>
      </c>
      <c r="I21">
        <f>SUM('Student Enrollment Data'!R22:X22,'Student Enrollment Data'!AQ22:AW22)</f>
        <v>0</v>
      </c>
      <c r="J21">
        <f>'Student Enrollment Data'!BS22</f>
        <v>18.296119866885128</v>
      </c>
      <c r="K21">
        <f t="shared" si="3"/>
        <v>22</v>
      </c>
      <c r="M21" s="30">
        <f t="shared" si="1"/>
        <v>220</v>
      </c>
      <c r="N21" s="30">
        <f>E21*'Front page'!$B$20</f>
        <v>5.5</v>
      </c>
      <c r="O21" s="30">
        <f>F21*'Front page'!$B$21</f>
        <v>7.6000000000000005</v>
      </c>
      <c r="P21">
        <f>G21*'Front page'!$B$18</f>
        <v>22.75</v>
      </c>
      <c r="Q21" s="30">
        <f>IF(settings!$B$4=0,Calculations!H21,Calculations!I21) *'Front page'!$B$11</f>
        <v>9.5</v>
      </c>
      <c r="R21" s="31">
        <f>ROUND(I21*'Front page'!$B$9,2)</f>
        <v>0</v>
      </c>
      <c r="S21" s="30">
        <f>J21*'Front page'!$B$14</f>
        <v>1.829611986688513</v>
      </c>
      <c r="T21" s="103">
        <f>'Front page'!$B$16*Calculations!K21</f>
        <v>0.44</v>
      </c>
      <c r="U21" s="103">
        <f>IF(settings!$B$13=0,(Calculations!M21*'District Wealth Adjustment'!M20)-Calculations!M21,0)</f>
        <v>0</v>
      </c>
      <c r="V21" s="185">
        <f>VLOOKUP(B21,'Remote School Building Weight'!$M$2:$P$174,3,FALSE)</f>
        <v>0</v>
      </c>
      <c r="W21" s="25">
        <f>'Small Dist Weight'!V20-Calculations!D21</f>
        <v>154.4388714733542</v>
      </c>
      <c r="X21" s="25">
        <f>IF(settings!$P$9=0,'Large District Weight'!H20*'Large District Weight'!G20,0)</f>
        <v>0</v>
      </c>
      <c r="Y21" s="25">
        <f t="shared" si="4"/>
        <v>422.05848346004274</v>
      </c>
      <c r="Z21" s="25">
        <f>IF(settings!$F$13=0,'Teacher Exp'!L21,0)</f>
        <v>13.176305694365491</v>
      </c>
      <c r="AA21" s="25">
        <f t="shared" si="5"/>
        <v>435.23478915440825</v>
      </c>
      <c r="AC21" s="26">
        <f>'Student Enrollment Data'!BU22</f>
        <v>0</v>
      </c>
      <c r="AD21" s="26">
        <f t="shared" si="6"/>
        <v>22</v>
      </c>
      <c r="AE21" s="26">
        <f>AD21*'Front page'!$B$16</f>
        <v>0.44</v>
      </c>
      <c r="AG21" s="6">
        <f>M21*'Front page'!$E$3</f>
        <v>932094.12340581859</v>
      </c>
      <c r="AH21" s="6">
        <f>N21*'Front page'!$E$3</f>
        <v>23302.353085145463</v>
      </c>
      <c r="AI21" s="6">
        <f>O21*'Front page'!$E$3</f>
        <v>32199.615172201007</v>
      </c>
      <c r="AJ21" s="6">
        <f>P21*'Front page'!$E$3</f>
        <v>96387.0059431017</v>
      </c>
      <c r="AK21" s="6">
        <f>Q21*'Front page'!$E$3</f>
        <v>40249.518965251256</v>
      </c>
      <c r="AL21" s="6">
        <f>S21*'Front page'!$E$3</f>
        <v>7751.6844586600355</v>
      </c>
      <c r="AM21" s="5">
        <f>Z21*'Front page'!$E$3</f>
        <v>55825.25957234863</v>
      </c>
      <c r="AN21" s="6">
        <f>T21*'Front page'!$E$3</f>
        <v>1864.1882468116373</v>
      </c>
      <c r="AO21" s="6">
        <f>U21*'Front page'!$E$3</f>
        <v>0</v>
      </c>
      <c r="AP21" s="6">
        <f>W21*'Front page'!$E$3</f>
        <v>654325.29329881805</v>
      </c>
      <c r="AQ21" s="6">
        <f>V21*'Front page'!$E$3</f>
        <v>0</v>
      </c>
      <c r="AR21" s="6">
        <f>X21*'Front page'!$E$3</f>
        <v>0</v>
      </c>
      <c r="AS21" s="6">
        <f t="shared" si="7"/>
        <v>1843999.0421481561</v>
      </c>
      <c r="AT21" s="7">
        <f>IF(AS21&gt;'Funding Comparison'!D21*(1+'Front page'!$H$10),'Funding Comparison'!D21*(1+'Front page'!$H$10),AS21)</f>
        <v>1843999.0421481561</v>
      </c>
    </row>
    <row r="22" spans="1:46">
      <c r="A22" t="str">
        <f t="shared" si="0"/>
        <v>083</v>
      </c>
      <c r="B22">
        <f t="shared" si="2"/>
        <v>83</v>
      </c>
      <c r="C22" s="15" t="s">
        <v>31</v>
      </c>
      <c r="D22">
        <f>IF(settings!$G$4=0,'Student Enrollment Data'!AX23,'Student Enrollment Data'!CK23)</f>
        <v>939</v>
      </c>
      <c r="E22">
        <f>IF(settings!$G$4=0,'Student Enrollment Data'!AY23,'Student Enrollment Data'!CL23)</f>
        <v>252</v>
      </c>
      <c r="F22">
        <f>IF(settings!$G$4=0,'Student Enrollment Data'!AZ23,'Student Enrollment Data'!CM23)</f>
        <v>294</v>
      </c>
      <c r="G22" s="25">
        <f>'Student Enrollment Data'!BK23</f>
        <v>160</v>
      </c>
      <c r="H22">
        <f>'Student Enrollment Data'!BF23</f>
        <v>509</v>
      </c>
      <c r="I22">
        <f>SUM('Student Enrollment Data'!R23:X23,'Student Enrollment Data'!AQ23:AW23)</f>
        <v>19.550291925465849</v>
      </c>
      <c r="J22">
        <f>'Student Enrollment Data'!BS23</f>
        <v>83.391454421417393</v>
      </c>
      <c r="K22">
        <f t="shared" si="3"/>
        <v>93.9</v>
      </c>
      <c r="M22" s="30">
        <f t="shared" si="1"/>
        <v>939</v>
      </c>
      <c r="N22" s="30">
        <f>E22*'Front page'!$B$20</f>
        <v>25.200000000000003</v>
      </c>
      <c r="O22" s="30">
        <f>F22*'Front page'!$B$21</f>
        <v>29.400000000000002</v>
      </c>
      <c r="P22">
        <f>G22*'Front page'!$B$18</f>
        <v>104</v>
      </c>
      <c r="Q22" s="30">
        <f>IF(settings!$B$4=0,Calculations!H22,Calculations!I22) *'Front page'!$B$11</f>
        <v>50.900000000000006</v>
      </c>
      <c r="R22" s="31">
        <f>ROUND(I22*'Front page'!$B$9,2)</f>
        <v>0</v>
      </c>
      <c r="S22" s="30">
        <f>J22*'Front page'!$B$14</f>
        <v>8.3391454421417404</v>
      </c>
      <c r="T22" s="103">
        <f>'Front page'!$B$16*Calculations!K22</f>
        <v>1.8780000000000001</v>
      </c>
      <c r="U22" s="103">
        <f>IF(settings!$B$13=0,(Calculations!M22*'District Wealth Adjustment'!M21)-Calculations!M22,0)</f>
        <v>0</v>
      </c>
      <c r="V22" s="185">
        <f>VLOOKUP(B22,'Remote School Building Weight'!$M$2:$P$174,3,FALSE)</f>
        <v>36.94995351605391</v>
      </c>
      <c r="W22" s="25">
        <f>'Small Dist Weight'!V21-Calculations!D22</f>
        <v>114.16577586206904</v>
      </c>
      <c r="X22" s="25">
        <f>IF(settings!$P$9=0,'Large District Weight'!H21*'Large District Weight'!G21,0)</f>
        <v>0</v>
      </c>
      <c r="Y22" s="25">
        <f t="shared" si="4"/>
        <v>1309.8328748202646</v>
      </c>
      <c r="Z22" s="25">
        <f>IF(settings!$F$13=0,'Teacher Exp'!L22,0)</f>
        <v>22.147737343301841</v>
      </c>
      <c r="AA22" s="25">
        <f t="shared" si="5"/>
        <v>1331.9806121635663</v>
      </c>
      <c r="AC22" s="26">
        <f>'Student Enrollment Data'!BU23</f>
        <v>49</v>
      </c>
      <c r="AD22" s="26">
        <f t="shared" si="6"/>
        <v>93.9</v>
      </c>
      <c r="AE22" s="26">
        <f>AD22*'Front page'!$B$16</f>
        <v>1.8780000000000001</v>
      </c>
      <c r="AG22" s="6">
        <f>M22*'Front page'!$E$3</f>
        <v>3978347.1903548348</v>
      </c>
      <c r="AH22" s="6">
        <f>N22*'Front page'!$E$3</f>
        <v>106767.14504466651</v>
      </c>
      <c r="AI22" s="6">
        <f>O22*'Front page'!$E$3</f>
        <v>124561.66921877759</v>
      </c>
      <c r="AJ22" s="6">
        <f>P22*'Front page'!$E$3</f>
        <v>440626.31288275064</v>
      </c>
      <c r="AK22" s="6">
        <f>Q22*'Front page'!$E$3</f>
        <v>215652.68582434623</v>
      </c>
      <c r="AL22" s="6">
        <f>S22*'Front page'!$E$3</f>
        <v>35331.220276576059</v>
      </c>
      <c r="AM22" s="5">
        <f>Z22*'Front page'!$E$3</f>
        <v>93835.344656487476</v>
      </c>
      <c r="AN22" s="6">
        <f>T22*'Front page'!$E$3</f>
        <v>7956.6943807096704</v>
      </c>
      <c r="AO22" s="6">
        <f>U22*'Front page'!$E$3</f>
        <v>0</v>
      </c>
      <c r="AP22" s="6">
        <f>W22*'Front page'!$E$3</f>
        <v>483696.58534136548</v>
      </c>
      <c r="AQ22" s="6">
        <f>V22*'Front page'!$E$3</f>
        <v>156549.24787469098</v>
      </c>
      <c r="AR22" s="6">
        <f>X22*'Front page'!$E$3</f>
        <v>0</v>
      </c>
      <c r="AS22" s="6">
        <f t="shared" si="7"/>
        <v>5643324.0958552053</v>
      </c>
      <c r="AT22" s="7">
        <f>IF(AS22&gt;'Funding Comparison'!D22*(1+'Front page'!$H$10),'Funding Comparison'!D22*(1+'Front page'!$H$10),AS22)</f>
        <v>5643324.0958552053</v>
      </c>
    </row>
    <row r="23" spans="1:46">
      <c r="A23" t="str">
        <f t="shared" si="0"/>
        <v>084</v>
      </c>
      <c r="B23">
        <f t="shared" si="2"/>
        <v>84</v>
      </c>
      <c r="C23" s="15" t="s">
        <v>32</v>
      </c>
      <c r="D23">
        <f>IF(settings!$G$4=0,'Student Enrollment Data'!AX24,'Student Enrollment Data'!CK24)</f>
        <v>3672</v>
      </c>
      <c r="E23">
        <f>IF(settings!$G$4=0,'Student Enrollment Data'!AY24,'Student Enrollment Data'!CL24)</f>
        <v>982</v>
      </c>
      <c r="F23">
        <f>IF(settings!$G$4=0,'Student Enrollment Data'!AZ24,'Student Enrollment Data'!CM24)</f>
        <v>1183</v>
      </c>
      <c r="G23" s="25">
        <f>'Student Enrollment Data'!BK24</f>
        <v>460</v>
      </c>
      <c r="H23">
        <f>'Student Enrollment Data'!BF24</f>
        <v>1272</v>
      </c>
      <c r="I23">
        <f>SUM('Student Enrollment Data'!R24:X24,'Student Enrollment Data'!AQ24:AW24)</f>
        <v>89.609994065448248</v>
      </c>
      <c r="J23">
        <f>'Student Enrollment Data'!BS24</f>
        <v>53</v>
      </c>
      <c r="K23">
        <f t="shared" si="3"/>
        <v>367.20000000000005</v>
      </c>
      <c r="M23" s="30">
        <f t="shared" si="1"/>
        <v>3672</v>
      </c>
      <c r="N23" s="30">
        <f>E23*'Front page'!$B$20</f>
        <v>98.2</v>
      </c>
      <c r="O23" s="30">
        <f>F23*'Front page'!$B$21</f>
        <v>118.30000000000001</v>
      </c>
      <c r="P23">
        <f>G23*'Front page'!$B$18</f>
        <v>299</v>
      </c>
      <c r="Q23" s="30">
        <f>IF(settings!$B$4=0,Calculations!H23,Calculations!I23) *'Front page'!$B$11</f>
        <v>127.2</v>
      </c>
      <c r="R23" s="31">
        <f>ROUND(I23*'Front page'!$B$9,2)</f>
        <v>0</v>
      </c>
      <c r="S23" s="30">
        <f>J23*'Front page'!$B$14</f>
        <v>5.3000000000000007</v>
      </c>
      <c r="T23" s="103">
        <f>'Front page'!$B$16*Calculations!K23</f>
        <v>7.3440000000000012</v>
      </c>
      <c r="U23" s="103">
        <f>IF(settings!$B$13=0,(Calculations!M23*'District Wealth Adjustment'!M22)-Calculations!M23,0)</f>
        <v>0</v>
      </c>
      <c r="V23" s="185">
        <f>VLOOKUP(B23,'Remote School Building Weight'!$M$2:$P$174,3,FALSE)</f>
        <v>114.88991732732602</v>
      </c>
      <c r="W23" s="25">
        <f>'Small Dist Weight'!V22-Calculations!D23</f>
        <v>0</v>
      </c>
      <c r="X23" s="25">
        <f>IF(settings!$P$9=0,'Large District Weight'!H22*'Large District Weight'!G22,0)</f>
        <v>0</v>
      </c>
      <c r="Y23" s="25">
        <f t="shared" si="4"/>
        <v>4442.2339173273258</v>
      </c>
      <c r="Z23" s="25">
        <f>IF(settings!$F$13=0,'Teacher Exp'!L23,0)</f>
        <v>76.843614799910057</v>
      </c>
      <c r="AA23" s="25">
        <f t="shared" si="5"/>
        <v>4519.0775321272358</v>
      </c>
      <c r="AC23" s="26">
        <f>'Student Enrollment Data'!BU24</f>
        <v>0</v>
      </c>
      <c r="AD23" s="26">
        <f t="shared" si="6"/>
        <v>367.20000000000005</v>
      </c>
      <c r="AE23" s="26">
        <f>AD23*'Front page'!$B$16</f>
        <v>7.3440000000000012</v>
      </c>
      <c r="AG23" s="6">
        <f>M23*'Front page'!$E$3</f>
        <v>15557498.277937118</v>
      </c>
      <c r="AH23" s="6">
        <f>N23*'Front page'!$E$3</f>
        <v>416052.92235659721</v>
      </c>
      <c r="AI23" s="6">
        <f>O23*'Front page'!$E$3</f>
        <v>501212.43090412888</v>
      </c>
      <c r="AJ23" s="6">
        <f>P23*'Front page'!$E$3</f>
        <v>1266800.6495379079</v>
      </c>
      <c r="AK23" s="6">
        <f>Q23*'Front page'!$E$3</f>
        <v>538919.87498736428</v>
      </c>
      <c r="AL23" s="6">
        <f>S23*'Front page'!$E$3</f>
        <v>22454.99479114018</v>
      </c>
      <c r="AM23" s="5">
        <f>Z23*'Front page'!$E$3</f>
        <v>325570.37171025708</v>
      </c>
      <c r="AN23" s="6">
        <f>T23*'Front page'!$E$3</f>
        <v>31114.996555874241</v>
      </c>
      <c r="AO23" s="6">
        <f>U23*'Front page'!$E$3</f>
        <v>0</v>
      </c>
      <c r="AP23" s="6">
        <f>W23*'Front page'!$E$3</f>
        <v>0</v>
      </c>
      <c r="AQ23" s="6">
        <f>V23*'Front page'!$E$3</f>
        <v>486764.6217244587</v>
      </c>
      <c r="AR23" s="6">
        <f>X23*'Front page'!$E$3</f>
        <v>0</v>
      </c>
      <c r="AS23" s="6">
        <f t="shared" si="7"/>
        <v>19146389.140504848</v>
      </c>
      <c r="AT23" s="7">
        <f>IF(AS23&gt;'Funding Comparison'!D23*(1+'Front page'!$H$10),'Funding Comparison'!D23*(1+'Front page'!$H$10),AS23)</f>
        <v>19146389.140504848</v>
      </c>
    </row>
    <row r="24" spans="1:46">
      <c r="A24" t="str">
        <f t="shared" si="0"/>
        <v>091</v>
      </c>
      <c r="B24">
        <f t="shared" si="2"/>
        <v>91</v>
      </c>
      <c r="C24" s="15" t="s">
        <v>33</v>
      </c>
      <c r="D24">
        <f>IF(settings!$G$4=0,'Student Enrollment Data'!AX25,'Student Enrollment Data'!CK25)</f>
        <v>9763.5</v>
      </c>
      <c r="E24">
        <f>IF(settings!$G$4=0,'Student Enrollment Data'!AY25,'Student Enrollment Data'!CL25)</f>
        <v>2572.5</v>
      </c>
      <c r="F24">
        <f>IF(settings!$G$4=0,'Student Enrollment Data'!AZ25,'Student Enrollment Data'!CM25)</f>
        <v>3168</v>
      </c>
      <c r="G24" s="25">
        <f>'Student Enrollment Data'!BK25</f>
        <v>1183</v>
      </c>
      <c r="H24">
        <f>'Student Enrollment Data'!BF25</f>
        <v>4472</v>
      </c>
      <c r="I24">
        <f>SUM('Student Enrollment Data'!R25:X25,'Student Enrollment Data'!AQ25:AW25)</f>
        <v>239.18222853054993</v>
      </c>
      <c r="J24">
        <f>'Student Enrollment Data'!BS25</f>
        <v>797</v>
      </c>
      <c r="K24">
        <f t="shared" si="3"/>
        <v>976.35</v>
      </c>
      <c r="M24" s="30">
        <f t="shared" si="1"/>
        <v>9763.5</v>
      </c>
      <c r="N24" s="30">
        <f>E24*'Front page'!$B$20</f>
        <v>257.25</v>
      </c>
      <c r="O24" s="30">
        <f>F24*'Front page'!$B$21</f>
        <v>316.8</v>
      </c>
      <c r="P24">
        <f>G24*'Front page'!$B$18</f>
        <v>768.95</v>
      </c>
      <c r="Q24" s="30">
        <f>IF(settings!$B$4=0,Calculations!H24,Calculations!I24) *'Front page'!$B$11</f>
        <v>447.20000000000005</v>
      </c>
      <c r="R24" s="31">
        <f>ROUND(I24*'Front page'!$B$9,2)</f>
        <v>0</v>
      </c>
      <c r="S24" s="30">
        <f>J24*'Front page'!$B$14</f>
        <v>79.7</v>
      </c>
      <c r="T24" s="103">
        <f>'Front page'!$B$16*Calculations!K24</f>
        <v>19.527000000000001</v>
      </c>
      <c r="U24" s="103">
        <f>IF(settings!$B$13=0,(Calculations!M24*'District Wealth Adjustment'!M23)-Calculations!M24,0)</f>
        <v>976.35000000000036</v>
      </c>
      <c r="V24" s="185">
        <f>VLOOKUP(B24,'Remote School Building Weight'!$M$2:$P$174,3,FALSE)</f>
        <v>0</v>
      </c>
      <c r="W24" s="25">
        <f>'Small Dist Weight'!V23-Calculations!D24</f>
        <v>0</v>
      </c>
      <c r="X24" s="25">
        <f>IF(settings!$P$9=0,'Large District Weight'!H23*'Large District Weight'!G23,0)</f>
        <v>0</v>
      </c>
      <c r="Y24" s="25">
        <f t="shared" si="4"/>
        <v>12629.277000000002</v>
      </c>
      <c r="Z24" s="25">
        <f>IF(settings!$F$13=0,'Teacher Exp'!L24,0)</f>
        <v>0</v>
      </c>
      <c r="AA24" s="25">
        <f t="shared" si="5"/>
        <v>12629.277000000002</v>
      </c>
      <c r="AC24" s="26">
        <f>'Student Enrollment Data'!BU25</f>
        <v>493</v>
      </c>
      <c r="AD24" s="26">
        <f t="shared" si="6"/>
        <v>976.35</v>
      </c>
      <c r="AE24" s="26">
        <f>AD24*'Front page'!$B$16</f>
        <v>19.527000000000001</v>
      </c>
      <c r="AG24" s="6">
        <f>M24*'Front page'!$E$3</f>
        <v>41365913.517603226</v>
      </c>
      <c r="AH24" s="6">
        <f>N24*'Front page'!$E$3</f>
        <v>1089914.6056643038</v>
      </c>
      <c r="AI24" s="6">
        <f>O24*'Front page'!$E$3</f>
        <v>1342215.5377043788</v>
      </c>
      <c r="AJ24" s="6">
        <f>P24*'Front page'!$E$3</f>
        <v>3257880.8008768377</v>
      </c>
      <c r="AK24" s="6">
        <f>Q24*'Front page'!$E$3</f>
        <v>1894693.1453958279</v>
      </c>
      <c r="AL24" s="6">
        <f>S24*'Front page'!$E$3</f>
        <v>337672.28016110795</v>
      </c>
      <c r="AM24" s="5">
        <f>Z24*'Front page'!$E$3</f>
        <v>0</v>
      </c>
      <c r="AN24" s="6">
        <f>T24*'Front page'!$E$3</f>
        <v>82731.827035206457</v>
      </c>
      <c r="AO24" s="6">
        <f>U24*'Front page'!$E$3</f>
        <v>4136591.3517603241</v>
      </c>
      <c r="AP24" s="6">
        <f>W24*'Front page'!$E$3</f>
        <v>0</v>
      </c>
      <c r="AQ24" s="6">
        <f>V24*'Front page'!$E$3</f>
        <v>0</v>
      </c>
      <c r="AR24" s="6">
        <f>X24*'Front page'!$E$3</f>
        <v>0</v>
      </c>
      <c r="AS24" s="6">
        <f t="shared" si="7"/>
        <v>53507613.06620121</v>
      </c>
      <c r="AT24" s="7">
        <f>IF(AS24&gt;'Funding Comparison'!D24*(1+'Front page'!$H$10),'Funding Comparison'!D24*(1+'Front page'!$H$10),AS24)</f>
        <v>53351403.039749995</v>
      </c>
    </row>
    <row r="25" spans="1:46">
      <c r="A25" t="str">
        <f t="shared" si="0"/>
        <v>092</v>
      </c>
      <c r="B25">
        <f t="shared" si="2"/>
        <v>92</v>
      </c>
      <c r="C25" s="15" t="s">
        <v>34</v>
      </c>
      <c r="D25">
        <f>IF(settings!$G$4=0,'Student Enrollment Data'!AX26,'Student Enrollment Data'!CK26)</f>
        <v>40.5</v>
      </c>
      <c r="E25">
        <f>IF(settings!$G$4=0,'Student Enrollment Data'!AY26,'Student Enrollment Data'!CL26)</f>
        <v>13.5</v>
      </c>
      <c r="F25">
        <f>IF(settings!$G$4=0,'Student Enrollment Data'!AZ26,'Student Enrollment Data'!CM26)</f>
        <v>0</v>
      </c>
      <c r="G25" s="25">
        <f>'Student Enrollment Data'!BK26</f>
        <v>10</v>
      </c>
      <c r="H25">
        <f>'Student Enrollment Data'!BF26</f>
        <v>22</v>
      </c>
      <c r="I25">
        <f>SUM('Student Enrollment Data'!R26:X26,'Student Enrollment Data'!AQ26:AW26)</f>
        <v>0</v>
      </c>
      <c r="J25">
        <f>'Student Enrollment Data'!BS26</f>
        <v>0</v>
      </c>
      <c r="K25">
        <f t="shared" si="3"/>
        <v>4.05</v>
      </c>
      <c r="M25" s="30">
        <f t="shared" si="1"/>
        <v>40.5</v>
      </c>
      <c r="N25" s="30">
        <f>E25*'Front page'!$B$20</f>
        <v>1.35</v>
      </c>
      <c r="O25" s="30">
        <f>F25*'Front page'!$B$21</f>
        <v>0</v>
      </c>
      <c r="P25">
        <f>G25*'Front page'!$B$18</f>
        <v>6.5</v>
      </c>
      <c r="Q25" s="30">
        <f>IF(settings!$B$4=0,Calculations!H25,Calculations!I25) *'Front page'!$B$11</f>
        <v>2.2000000000000002</v>
      </c>
      <c r="R25" s="31">
        <f>ROUND(I25*'Front page'!$B$9,2)</f>
        <v>0</v>
      </c>
      <c r="S25" s="30">
        <f>J25*'Front page'!$B$14</f>
        <v>0</v>
      </c>
      <c r="T25" s="103">
        <f>'Front page'!$B$16*Calculations!K25</f>
        <v>8.1000000000000003E-2</v>
      </c>
      <c r="U25" s="103">
        <f>IF(settings!$B$13=0,(Calculations!M25*'District Wealth Adjustment'!M24)-Calculations!M25,0)</f>
        <v>0</v>
      </c>
      <c r="V25" s="185">
        <f>VLOOKUP(B25,'Remote School Building Weight'!$M$2:$P$174,3,FALSE)</f>
        <v>0</v>
      </c>
      <c r="W25" s="25">
        <f>'Small Dist Weight'!V24-Calculations!D25</f>
        <v>37.789261363636356</v>
      </c>
      <c r="X25" s="25">
        <f>IF(settings!$P$9=0,'Large District Weight'!H24*'Large District Weight'!G24,0)</f>
        <v>0</v>
      </c>
      <c r="Y25" s="25">
        <f t="shared" si="4"/>
        <v>88.420261363636371</v>
      </c>
      <c r="Z25" s="25">
        <f>IF(settings!$F$13=0,'Teacher Exp'!L25,0)</f>
        <v>0</v>
      </c>
      <c r="AA25" s="25">
        <f t="shared" si="5"/>
        <v>88.420261363636371</v>
      </c>
      <c r="AC25" s="26">
        <f>'Student Enrollment Data'!BU26</f>
        <v>0</v>
      </c>
      <c r="AD25" s="26">
        <f t="shared" si="6"/>
        <v>4.05</v>
      </c>
      <c r="AE25" s="26">
        <f>AD25*'Front page'!$B$16</f>
        <v>8.1000000000000003E-2</v>
      </c>
      <c r="AG25" s="6">
        <f>M25*'Front page'!$E$3</f>
        <v>171590.05453607114</v>
      </c>
      <c r="AH25" s="6">
        <f>N25*'Front page'!$E$3</f>
        <v>5719.6684845357058</v>
      </c>
      <c r="AI25" s="6">
        <f>O25*'Front page'!$E$3</f>
        <v>0</v>
      </c>
      <c r="AJ25" s="6">
        <f>P25*'Front page'!$E$3</f>
        <v>27539.144555171915</v>
      </c>
      <c r="AK25" s="6">
        <f>Q25*'Front page'!$E$3</f>
        <v>9320.9412340581875</v>
      </c>
      <c r="AL25" s="6">
        <f>S25*'Front page'!$E$3</f>
        <v>0</v>
      </c>
      <c r="AM25" s="5">
        <f>Z25*'Front page'!$E$3</f>
        <v>0</v>
      </c>
      <c r="AN25" s="6">
        <f>T25*'Front page'!$E$3</f>
        <v>343.18010907214233</v>
      </c>
      <c r="AO25" s="6">
        <f>U25*'Front page'!$E$3</f>
        <v>0</v>
      </c>
      <c r="AP25" s="6">
        <f>W25*'Front page'!$E$3</f>
        <v>160105.22020405455</v>
      </c>
      <c r="AQ25" s="6">
        <f>V25*'Front page'!$E$3</f>
        <v>0</v>
      </c>
      <c r="AR25" s="6">
        <f>X25*'Front page'!$E$3</f>
        <v>0</v>
      </c>
      <c r="AS25" s="6">
        <f t="shared" si="7"/>
        <v>374618.20912296366</v>
      </c>
      <c r="AT25" s="7">
        <f>IF(AS25&gt;'Funding Comparison'!D25*(1+'Front page'!$H$10),'Funding Comparison'!D25*(1+'Front page'!$H$10),AS25)</f>
        <v>374618.20912296366</v>
      </c>
    </row>
    <row r="26" spans="1:46">
      <c r="A26" t="str">
        <f t="shared" si="0"/>
        <v>093</v>
      </c>
      <c r="B26">
        <f t="shared" si="2"/>
        <v>93</v>
      </c>
      <c r="C26" s="15" t="s">
        <v>35</v>
      </c>
      <c r="D26">
        <f>IF(settings!$G$4=0,'Student Enrollment Data'!AX27,'Student Enrollment Data'!CK27)</f>
        <v>12337.5</v>
      </c>
      <c r="E26">
        <f>IF(settings!$G$4=0,'Student Enrollment Data'!AY27,'Student Enrollment Data'!CL27)</f>
        <v>3292.5</v>
      </c>
      <c r="F26">
        <f>IF(settings!$G$4=0,'Student Enrollment Data'!AZ27,'Student Enrollment Data'!CM27)</f>
        <v>3919</v>
      </c>
      <c r="G26" s="25">
        <f>'Student Enrollment Data'!BK27</f>
        <v>1399</v>
      </c>
      <c r="H26">
        <f>'Student Enrollment Data'!BF27</f>
        <v>4228</v>
      </c>
      <c r="I26">
        <f>SUM('Student Enrollment Data'!R27:X27,'Student Enrollment Data'!AQ27:AW27)</f>
        <v>111.7722407503252</v>
      </c>
      <c r="J26">
        <f>'Student Enrollment Data'!BS27</f>
        <v>721</v>
      </c>
      <c r="K26">
        <f t="shared" si="3"/>
        <v>1233.75</v>
      </c>
      <c r="M26" s="30">
        <f t="shared" si="1"/>
        <v>12337.5</v>
      </c>
      <c r="N26" s="30">
        <f>E26*'Front page'!$B$20</f>
        <v>329.25</v>
      </c>
      <c r="O26" s="30">
        <f>F26*'Front page'!$B$21</f>
        <v>391.90000000000003</v>
      </c>
      <c r="P26">
        <f>G26*'Front page'!$B$18</f>
        <v>909.35</v>
      </c>
      <c r="Q26" s="30">
        <f>IF(settings!$B$4=0,Calculations!H26,Calculations!I26) *'Front page'!$B$11</f>
        <v>422.8</v>
      </c>
      <c r="R26" s="31">
        <f>ROUND(I26*'Front page'!$B$9,2)</f>
        <v>0</v>
      </c>
      <c r="S26" s="30">
        <f>J26*'Front page'!$B$14</f>
        <v>72.100000000000009</v>
      </c>
      <c r="T26" s="103">
        <f>'Front page'!$B$16*Calculations!K26</f>
        <v>24.675000000000001</v>
      </c>
      <c r="U26" s="103">
        <f>IF(settings!$B$13=0,(Calculations!M26*'District Wealth Adjustment'!M25)-Calculations!M26,0)</f>
        <v>1233.7500000000018</v>
      </c>
      <c r="V26" s="185">
        <f>VLOOKUP(B26,'Remote School Building Weight'!$M$2:$P$174,3,FALSE)</f>
        <v>0</v>
      </c>
      <c r="W26" s="25">
        <f>'Small Dist Weight'!V25-Calculations!D26</f>
        <v>0</v>
      </c>
      <c r="X26" s="25">
        <f>IF(settings!$P$9=0,'Large District Weight'!H25*'Large District Weight'!G25,0)</f>
        <v>0</v>
      </c>
      <c r="Y26" s="25">
        <f t="shared" si="4"/>
        <v>15721.325000000001</v>
      </c>
      <c r="Z26" s="25">
        <f>IF(settings!$F$13=0,'Teacher Exp'!L26,0)</f>
        <v>0</v>
      </c>
      <c r="AA26" s="25">
        <f t="shared" si="5"/>
        <v>15721.325000000001</v>
      </c>
      <c r="AC26" s="26">
        <f>'Student Enrollment Data'!BU27</f>
        <v>796</v>
      </c>
      <c r="AD26" s="26">
        <f t="shared" si="6"/>
        <v>1233.75</v>
      </c>
      <c r="AE26" s="26">
        <f>AD26*'Front page'!$B$16</f>
        <v>24.675000000000001</v>
      </c>
      <c r="AG26" s="6">
        <f>M26*'Front page'!$E$3</f>
        <v>52271414.761451304</v>
      </c>
      <c r="AH26" s="6">
        <f>N26*'Front page'!$E$3</f>
        <v>1394963.5915062081</v>
      </c>
      <c r="AI26" s="6">
        <f>O26*'Front page'!$E$3</f>
        <v>1660398.5771033652</v>
      </c>
      <c r="AJ26" s="6">
        <f>P26*'Front page'!$E$3</f>
        <v>3852726.3232685509</v>
      </c>
      <c r="AK26" s="6">
        <f>Q26*'Front page'!$E$3</f>
        <v>1791315.4335271823</v>
      </c>
      <c r="AL26" s="6">
        <f>S26*'Front page'!$E$3</f>
        <v>305472.66498890694</v>
      </c>
      <c r="AM26" s="5">
        <f>Z26*'Front page'!$E$3</f>
        <v>0</v>
      </c>
      <c r="AN26" s="6">
        <f>T26*'Front page'!$E$3</f>
        <v>104542.82952290261</v>
      </c>
      <c r="AO26" s="6">
        <f>U26*'Front page'!$E$3</f>
        <v>5227141.476145138</v>
      </c>
      <c r="AP26" s="6">
        <f>W26*'Front page'!$E$3</f>
        <v>0</v>
      </c>
      <c r="AQ26" s="6">
        <f>V26*'Front page'!$E$3</f>
        <v>0</v>
      </c>
      <c r="AR26" s="6">
        <f>X26*'Front page'!$E$3</f>
        <v>0</v>
      </c>
      <c r="AS26" s="6">
        <f t="shared" si="7"/>
        <v>66607975.657513551</v>
      </c>
      <c r="AT26" s="7">
        <f>IF(AS26&gt;'Funding Comparison'!D26*(1+'Front page'!$H$10),'Funding Comparison'!D26*(1+'Front page'!$H$10),AS26)</f>
        <v>64101661.319249995</v>
      </c>
    </row>
    <row r="27" spans="1:46">
      <c r="A27" t="str">
        <f t="shared" si="0"/>
        <v>101</v>
      </c>
      <c r="B27">
        <f t="shared" si="2"/>
        <v>101</v>
      </c>
      <c r="C27" s="15" t="s">
        <v>36</v>
      </c>
      <c r="D27">
        <f>IF(settings!$G$4=0,'Student Enrollment Data'!AX28,'Student Enrollment Data'!CK28)</f>
        <v>1361.5</v>
      </c>
      <c r="E27">
        <f>IF(settings!$G$4=0,'Student Enrollment Data'!AY28,'Student Enrollment Data'!CL28)</f>
        <v>371.5</v>
      </c>
      <c r="F27">
        <f>IF(settings!$G$4=0,'Student Enrollment Data'!AZ28,'Student Enrollment Data'!CM28)</f>
        <v>440</v>
      </c>
      <c r="G27" s="25">
        <f>'Student Enrollment Data'!BK28</f>
        <v>226</v>
      </c>
      <c r="H27">
        <f>'Student Enrollment Data'!BF28</f>
        <v>711</v>
      </c>
      <c r="I27">
        <f>SUM('Student Enrollment Data'!R28:X28,'Student Enrollment Data'!AQ28:AW28)</f>
        <v>14.167647058823524</v>
      </c>
      <c r="J27">
        <f>'Student Enrollment Data'!BS28</f>
        <v>19</v>
      </c>
      <c r="K27">
        <f t="shared" si="3"/>
        <v>136.15</v>
      </c>
      <c r="M27" s="30">
        <f t="shared" si="1"/>
        <v>1361.5</v>
      </c>
      <c r="N27" s="30">
        <f>E27*'Front page'!$B$20</f>
        <v>37.15</v>
      </c>
      <c r="O27" s="30">
        <f>F27*'Front page'!$B$21</f>
        <v>44</v>
      </c>
      <c r="P27">
        <f>G27*'Front page'!$B$18</f>
        <v>146.9</v>
      </c>
      <c r="Q27" s="30">
        <f>IF(settings!$B$4=0,Calculations!H27,Calculations!I27) *'Front page'!$B$11</f>
        <v>71.100000000000009</v>
      </c>
      <c r="R27" s="31">
        <f>ROUND(I27*'Front page'!$B$9,2)</f>
        <v>0</v>
      </c>
      <c r="S27" s="30">
        <f>J27*'Front page'!$B$14</f>
        <v>1.9000000000000001</v>
      </c>
      <c r="T27" s="103">
        <f>'Front page'!$B$16*Calculations!K27</f>
        <v>2.7230000000000003</v>
      </c>
      <c r="U27" s="103">
        <f>IF(settings!$B$13=0,(Calculations!M27*'District Wealth Adjustment'!M26)-Calculations!M27,0)</f>
        <v>0</v>
      </c>
      <c r="V27" s="185">
        <f>VLOOKUP(B27,'Remote School Building Weight'!$M$2:$P$174,3,FALSE)</f>
        <v>53.621708637958193</v>
      </c>
      <c r="W27" s="25">
        <f>'Small Dist Weight'!V26-Calculations!D27</f>
        <v>81.145086206896622</v>
      </c>
      <c r="X27" s="25">
        <f>IF(settings!$P$9=0,'Large District Weight'!H26*'Large District Weight'!G26,0)</f>
        <v>0</v>
      </c>
      <c r="Y27" s="25">
        <f t="shared" si="4"/>
        <v>1800.0397948448549</v>
      </c>
      <c r="Z27" s="25">
        <f>IF(settings!$F$13=0,'Teacher Exp'!L27,0)</f>
        <v>0</v>
      </c>
      <c r="AA27" s="25">
        <f t="shared" si="5"/>
        <v>1800.0397948448549</v>
      </c>
      <c r="AC27" s="26">
        <f>'Student Enrollment Data'!BU28</f>
        <v>24</v>
      </c>
      <c r="AD27" s="26">
        <f t="shared" si="6"/>
        <v>136.15</v>
      </c>
      <c r="AE27" s="26">
        <f>AD27*'Front page'!$B$16</f>
        <v>2.7230000000000003</v>
      </c>
      <c r="AG27" s="6">
        <f>M27*'Front page'!$E$3</f>
        <v>5768391.5864410093</v>
      </c>
      <c r="AH27" s="6">
        <f>N27*'Front page'!$E$3</f>
        <v>157396.80311148256</v>
      </c>
      <c r="AI27" s="6">
        <f>O27*'Front page'!$E$3</f>
        <v>186418.82468116371</v>
      </c>
      <c r="AJ27" s="6">
        <f>P27*'Front page'!$E$3</f>
        <v>622384.66694688529</v>
      </c>
      <c r="AK27" s="6">
        <f>Q27*'Front page'!$E$3</f>
        <v>301235.87351888051</v>
      </c>
      <c r="AL27" s="6">
        <f>S27*'Front page'!$E$3</f>
        <v>8049.9037930502518</v>
      </c>
      <c r="AM27" s="5">
        <f>Z27*'Front page'!$E$3</f>
        <v>0</v>
      </c>
      <c r="AN27" s="6">
        <f>T27*'Front page'!$E$3</f>
        <v>11536.78317288202</v>
      </c>
      <c r="AO27" s="6">
        <f>U27*'Front page'!$E$3</f>
        <v>0</v>
      </c>
      <c r="AP27" s="6">
        <f>W27*'Front page'!$E$3</f>
        <v>343794.8090759404</v>
      </c>
      <c r="AQ27" s="6">
        <f>V27*'Front page'!$E$3</f>
        <v>227183.9977655448</v>
      </c>
      <c r="AR27" s="6">
        <f>X27*'Front page'!$E$3</f>
        <v>0</v>
      </c>
      <c r="AS27" s="6">
        <f t="shared" si="7"/>
        <v>7626393.2485068385</v>
      </c>
      <c r="AT27" s="7">
        <f>IF(AS27&gt;'Funding Comparison'!D27*(1+'Front page'!$H$10),'Funding Comparison'!D27*(1+'Front page'!$H$10),AS27)</f>
        <v>7626393.2485068385</v>
      </c>
    </row>
    <row r="28" spans="1:46">
      <c r="A28" t="str">
        <f t="shared" si="0"/>
        <v>111</v>
      </c>
      <c r="B28">
        <f t="shared" si="2"/>
        <v>111</v>
      </c>
      <c r="C28" s="15" t="s">
        <v>37</v>
      </c>
      <c r="D28">
        <f>IF(settings!$G$4=0,'Student Enrollment Data'!AX29,'Student Enrollment Data'!CK29)</f>
        <v>402</v>
      </c>
      <c r="E28">
        <f>IF(settings!$G$4=0,'Student Enrollment Data'!AY29,'Student Enrollment Data'!CL29)</f>
        <v>103</v>
      </c>
      <c r="F28">
        <f>IF(settings!$G$4=0,'Student Enrollment Data'!AZ29,'Student Enrollment Data'!CM29)</f>
        <v>109</v>
      </c>
      <c r="G28" s="25">
        <f>'Student Enrollment Data'!BK29</f>
        <v>73</v>
      </c>
      <c r="H28">
        <f>'Student Enrollment Data'!BF29</f>
        <v>195</v>
      </c>
      <c r="I28">
        <f>SUM('Student Enrollment Data'!R29:X29,'Student Enrollment Data'!AQ29:AW29)</f>
        <v>0</v>
      </c>
      <c r="J28">
        <f>'Student Enrollment Data'!BS29</f>
        <v>8</v>
      </c>
      <c r="K28">
        <f t="shared" si="3"/>
        <v>40.200000000000003</v>
      </c>
      <c r="M28" s="30">
        <f t="shared" si="1"/>
        <v>402</v>
      </c>
      <c r="N28" s="30">
        <f>E28*'Front page'!$B$20</f>
        <v>10.3</v>
      </c>
      <c r="O28" s="30">
        <f>F28*'Front page'!$B$21</f>
        <v>10.9</v>
      </c>
      <c r="P28">
        <f>G28*'Front page'!$B$18</f>
        <v>47.45</v>
      </c>
      <c r="Q28" s="30">
        <f>IF(settings!$B$4=0,Calculations!H28,Calculations!I28) *'Front page'!$B$11</f>
        <v>19.5</v>
      </c>
      <c r="R28" s="31">
        <f>ROUND(I28*'Front page'!$B$9,2)</f>
        <v>0</v>
      </c>
      <c r="S28" s="30">
        <f>J28*'Front page'!$B$14</f>
        <v>0.8</v>
      </c>
      <c r="T28" s="103">
        <f>'Front page'!$B$16*Calculations!K28</f>
        <v>0.80400000000000005</v>
      </c>
      <c r="U28" s="103">
        <f>IF(settings!$B$13=0,(Calculations!M28*'District Wealth Adjustment'!M27)-Calculations!M28,0)</f>
        <v>40.200000000000045</v>
      </c>
      <c r="V28" s="185">
        <f>VLOOKUP(B28,'Remote School Building Weight'!$M$2:$P$174,3,FALSE)</f>
        <v>30.746165444219024</v>
      </c>
      <c r="W28" s="25">
        <f>'Small Dist Weight'!V27-Calculations!D28</f>
        <v>170.19677115987463</v>
      </c>
      <c r="X28" s="25">
        <f>IF(settings!$P$9=0,'Large District Weight'!H27*'Large District Weight'!G27,0)</f>
        <v>0</v>
      </c>
      <c r="Y28" s="25">
        <f t="shared" si="4"/>
        <v>732.89693660409364</v>
      </c>
      <c r="Z28" s="25">
        <f>IF(settings!$F$13=0,'Teacher Exp'!L28,0)</f>
        <v>7.4263962117894007</v>
      </c>
      <c r="AA28" s="25">
        <f t="shared" si="5"/>
        <v>740.32333281588308</v>
      </c>
      <c r="AC28" s="26">
        <f>'Student Enrollment Data'!BU29</f>
        <v>0</v>
      </c>
      <c r="AD28" s="26">
        <f t="shared" si="6"/>
        <v>40.200000000000003</v>
      </c>
      <c r="AE28" s="26">
        <f>AD28*'Front page'!$B$16</f>
        <v>0.80400000000000005</v>
      </c>
      <c r="AG28" s="6">
        <f>M28*'Front page'!$E$3</f>
        <v>1703190.1709506321</v>
      </c>
      <c r="AH28" s="6">
        <f>N28*'Front page'!$E$3</f>
        <v>43638.952141272421</v>
      </c>
      <c r="AI28" s="6">
        <f>O28*'Front page'!$E$3</f>
        <v>46181.02702328829</v>
      </c>
      <c r="AJ28" s="6">
        <f>P28*'Front page'!$E$3</f>
        <v>201035.75525275499</v>
      </c>
      <c r="AK28" s="6">
        <f>Q28*'Front page'!$E$3</f>
        <v>82617.433665515739</v>
      </c>
      <c r="AL28" s="6">
        <f>S28*'Front page'!$E$3</f>
        <v>3389.4331760211589</v>
      </c>
      <c r="AM28" s="5">
        <f>Z28*'Front page'!$E$3</f>
        <v>31464.09212314606</v>
      </c>
      <c r="AN28" s="6">
        <f>T28*'Front page'!$E$3</f>
        <v>3406.3803419012647</v>
      </c>
      <c r="AO28" s="6">
        <f>U28*'Front page'!$E$3</f>
        <v>170319.01709506341</v>
      </c>
      <c r="AP28" s="6">
        <f>W28*'Front page'!$E$3</f>
        <v>721088.22827620024</v>
      </c>
      <c r="AQ28" s="6">
        <f>V28*'Front page'!$E$3</f>
        <v>130265.09149008911</v>
      </c>
      <c r="AR28" s="6">
        <f>X28*'Front page'!$E$3</f>
        <v>0</v>
      </c>
      <c r="AS28" s="6">
        <f t="shared" si="7"/>
        <v>3136595.5815358846</v>
      </c>
      <c r="AT28" s="7">
        <f>IF(AS28&gt;'Funding Comparison'!D28*(1+'Front page'!$H$10),'Funding Comparison'!D28*(1+'Front page'!$H$10),AS28)</f>
        <v>3066100.1972500002</v>
      </c>
    </row>
    <row r="29" spans="1:46">
      <c r="A29" t="str">
        <f t="shared" si="0"/>
        <v>121</v>
      </c>
      <c r="B29">
        <f t="shared" si="2"/>
        <v>121</v>
      </c>
      <c r="C29" s="15" t="s">
        <v>38</v>
      </c>
      <c r="D29">
        <f>IF(settings!$G$4=0,'Student Enrollment Data'!AX30,'Student Enrollment Data'!CK30)</f>
        <v>165.5</v>
      </c>
      <c r="E29">
        <f>IF(settings!$G$4=0,'Student Enrollment Data'!AY30,'Student Enrollment Data'!CL30)</f>
        <v>46.5</v>
      </c>
      <c r="F29">
        <f>IF(settings!$G$4=0,'Student Enrollment Data'!AZ30,'Student Enrollment Data'!CM30)</f>
        <v>45</v>
      </c>
      <c r="G29" s="25">
        <f>'Student Enrollment Data'!BK30</f>
        <v>21</v>
      </c>
      <c r="H29">
        <f>'Student Enrollment Data'!BF30</f>
        <v>56</v>
      </c>
      <c r="I29">
        <f>SUM('Student Enrollment Data'!R30:X30,'Student Enrollment Data'!AQ30:AW30)</f>
        <v>0</v>
      </c>
      <c r="J29">
        <f>'Student Enrollment Data'!BS30</f>
        <v>0</v>
      </c>
      <c r="K29">
        <f t="shared" si="3"/>
        <v>16.55</v>
      </c>
      <c r="M29" s="30">
        <f t="shared" si="1"/>
        <v>165.5</v>
      </c>
      <c r="N29" s="30">
        <f>E29*'Front page'!$B$20</f>
        <v>4.6500000000000004</v>
      </c>
      <c r="O29" s="30">
        <f>F29*'Front page'!$B$21</f>
        <v>4.5</v>
      </c>
      <c r="P29">
        <f>G29*'Front page'!$B$18</f>
        <v>13.65</v>
      </c>
      <c r="Q29" s="30">
        <f>IF(settings!$B$4=0,Calculations!H29,Calculations!I29) *'Front page'!$B$11</f>
        <v>5.6000000000000005</v>
      </c>
      <c r="R29" s="31">
        <f>ROUND(I29*'Front page'!$B$9,2)</f>
        <v>0</v>
      </c>
      <c r="S29" s="30">
        <f>J29*'Front page'!$B$14</f>
        <v>0</v>
      </c>
      <c r="T29" s="103">
        <f>'Front page'!$B$16*Calculations!K29</f>
        <v>0.33100000000000002</v>
      </c>
      <c r="U29" s="103">
        <f>IF(settings!$B$13=0,(Calculations!M29*'District Wealth Adjustment'!M28)-Calculations!M29,0)</f>
        <v>0</v>
      </c>
      <c r="V29" s="185">
        <f>VLOOKUP(B29,'Remote School Building Weight'!$M$2:$P$174,3,FALSE)</f>
        <v>0</v>
      </c>
      <c r="W29" s="25">
        <f>'Small Dist Weight'!V28-Calculations!D29</f>
        <v>167.83172217868344</v>
      </c>
      <c r="X29" s="25">
        <f>IF(settings!$P$9=0,'Large District Weight'!H28*'Large District Weight'!G28,0)</f>
        <v>0</v>
      </c>
      <c r="Y29" s="25">
        <f t="shared" si="4"/>
        <v>362.06272217868343</v>
      </c>
      <c r="Z29" s="25">
        <f>IF(settings!$F$13=0,'Teacher Exp'!L29,0)</f>
        <v>0</v>
      </c>
      <c r="AA29" s="25">
        <f t="shared" si="5"/>
        <v>362.06272217868343</v>
      </c>
      <c r="AC29" s="26">
        <f>'Student Enrollment Data'!BU30</f>
        <v>0</v>
      </c>
      <c r="AD29" s="26">
        <f t="shared" si="6"/>
        <v>16.55</v>
      </c>
      <c r="AE29" s="26">
        <f>AD29*'Front page'!$B$16</f>
        <v>0.33100000000000002</v>
      </c>
      <c r="AG29" s="6">
        <f>M29*'Front page'!$E$3</f>
        <v>701188.98828937719</v>
      </c>
      <c r="AH29" s="6">
        <f>N29*'Front page'!$E$3</f>
        <v>19701.080335622984</v>
      </c>
      <c r="AI29" s="6">
        <f>O29*'Front page'!$E$3</f>
        <v>19065.561615119019</v>
      </c>
      <c r="AJ29" s="6">
        <f>P29*'Front page'!$E$3</f>
        <v>57832.203565861018</v>
      </c>
      <c r="AK29" s="6">
        <f>Q29*'Front page'!$E$3</f>
        <v>23726.032232148111</v>
      </c>
      <c r="AL29" s="6">
        <f>S29*'Front page'!$E$3</f>
        <v>0</v>
      </c>
      <c r="AM29" s="5">
        <f>Z29*'Front page'!$E$3</f>
        <v>0</v>
      </c>
      <c r="AN29" s="6">
        <f>T29*'Front page'!$E$3</f>
        <v>1402.3779765787544</v>
      </c>
      <c r="AO29" s="6">
        <f>U29*'Front page'!$E$3</f>
        <v>0</v>
      </c>
      <c r="AP29" s="6">
        <f>W29*'Front page'!$E$3</f>
        <v>711068.00892649463</v>
      </c>
      <c r="AQ29" s="6">
        <f>V29*'Front page'!$E$3</f>
        <v>0</v>
      </c>
      <c r="AR29" s="6">
        <f>X29*'Front page'!$E$3</f>
        <v>0</v>
      </c>
      <c r="AS29" s="6">
        <f t="shared" si="7"/>
        <v>1533984.2529412017</v>
      </c>
      <c r="AT29" s="7">
        <f>IF(AS29&gt;'Funding Comparison'!D29*(1+'Front page'!$H$10),'Funding Comparison'!D29*(1+'Front page'!$H$10),AS29)</f>
        <v>1533984.2529412017</v>
      </c>
    </row>
    <row r="30" spans="1:46">
      <c r="A30" t="str">
        <f t="shared" si="0"/>
        <v>131</v>
      </c>
      <c r="B30">
        <f t="shared" si="2"/>
        <v>131</v>
      </c>
      <c r="C30" s="15" t="s">
        <v>39</v>
      </c>
      <c r="D30">
        <f>IF(settings!$G$4=0,'Student Enrollment Data'!AX31,'Student Enrollment Data'!CK31)</f>
        <v>13365.5</v>
      </c>
      <c r="E30">
        <f>IF(settings!$G$4=0,'Student Enrollment Data'!AY31,'Student Enrollment Data'!CL31)</f>
        <v>3573.5</v>
      </c>
      <c r="F30">
        <f>IF(settings!$G$4=0,'Student Enrollment Data'!AZ31,'Student Enrollment Data'!CM31)</f>
        <v>4282</v>
      </c>
      <c r="G30" s="25">
        <f>'Student Enrollment Data'!BK31</f>
        <v>1575</v>
      </c>
      <c r="H30">
        <f>'Student Enrollment Data'!BF31</f>
        <v>8178</v>
      </c>
      <c r="I30">
        <f>SUM('Student Enrollment Data'!R31:X31,'Student Enrollment Data'!AQ31:AW31)</f>
        <v>532.11044662212021</v>
      </c>
      <c r="J30">
        <f>'Student Enrollment Data'!BS31</f>
        <v>1704</v>
      </c>
      <c r="K30">
        <f t="shared" si="3"/>
        <v>1336.5500000000002</v>
      </c>
      <c r="M30" s="30">
        <f t="shared" si="1"/>
        <v>13365.5</v>
      </c>
      <c r="N30" s="30">
        <f>E30*'Front page'!$B$20</f>
        <v>357.35</v>
      </c>
      <c r="O30" s="30">
        <f>F30*'Front page'!$B$21</f>
        <v>428.20000000000005</v>
      </c>
      <c r="P30">
        <f>G30*'Front page'!$B$18</f>
        <v>1023.75</v>
      </c>
      <c r="Q30" s="30">
        <f>IF(settings!$B$4=0,Calculations!H30,Calculations!I30) *'Front page'!$B$11</f>
        <v>817.80000000000007</v>
      </c>
      <c r="R30" s="31">
        <f>ROUND(I30*'Front page'!$B$9,2)</f>
        <v>0</v>
      </c>
      <c r="S30" s="30">
        <f>J30*'Front page'!$B$14</f>
        <v>170.4</v>
      </c>
      <c r="T30" s="103">
        <f>'Front page'!$B$16*Calculations!K30</f>
        <v>26.731000000000005</v>
      </c>
      <c r="U30" s="103">
        <f>IF(settings!$B$13=0,(Calculations!M30*'District Wealth Adjustment'!M29)-Calculations!M30,0)</f>
        <v>1336.5500000000011</v>
      </c>
      <c r="V30" s="185">
        <f>VLOOKUP(B30,'Remote School Building Weight'!$M$2:$P$174,3,FALSE)</f>
        <v>0</v>
      </c>
      <c r="W30" s="25">
        <f>'Small Dist Weight'!V29-Calculations!D30</f>
        <v>0</v>
      </c>
      <c r="X30" s="25">
        <f>IF(settings!$P$9=0,'Large District Weight'!H29*'Large District Weight'!G29,0)</f>
        <v>0</v>
      </c>
      <c r="Y30" s="25">
        <f t="shared" si="4"/>
        <v>17526.281000000003</v>
      </c>
      <c r="Z30" s="25">
        <f>IF(settings!$F$13=0,'Teacher Exp'!L30,0)</f>
        <v>0</v>
      </c>
      <c r="AA30" s="25">
        <f t="shared" si="5"/>
        <v>17526.281000000003</v>
      </c>
      <c r="AC30" s="26">
        <f>'Student Enrollment Data'!BU31</f>
        <v>425</v>
      </c>
      <c r="AD30" s="26">
        <f t="shared" si="6"/>
        <v>1336.5500000000002</v>
      </c>
      <c r="AE30" s="26">
        <f>AD30*'Front page'!$B$16</f>
        <v>26.731000000000005</v>
      </c>
      <c r="AG30" s="6">
        <f>M30*'Front page'!$E$3</f>
        <v>56626836.392638497</v>
      </c>
      <c r="AH30" s="6">
        <f>N30*'Front page'!$E$3</f>
        <v>1514017.4318139513</v>
      </c>
      <c r="AI30" s="6">
        <f>O30*'Front page'!$E$3</f>
        <v>1814194.1074653254</v>
      </c>
      <c r="AJ30" s="6">
        <f>P30*'Front page'!$E$3</f>
        <v>4337415.2674395768</v>
      </c>
      <c r="AK30" s="6">
        <f>Q30*'Front page'!$E$3</f>
        <v>3464848.0641876296</v>
      </c>
      <c r="AL30" s="6">
        <f>S30*'Front page'!$E$3</f>
        <v>721949.26649250684</v>
      </c>
      <c r="AM30" s="5">
        <f>Z30*'Front page'!$E$3</f>
        <v>0</v>
      </c>
      <c r="AN30" s="6">
        <f>T30*'Front page'!$E$3</f>
        <v>113253.67278527701</v>
      </c>
      <c r="AO30" s="6">
        <f>U30*'Front page'!$E$3</f>
        <v>5662683.6392638544</v>
      </c>
      <c r="AP30" s="6">
        <f>W30*'Front page'!$E$3</f>
        <v>0</v>
      </c>
      <c r="AQ30" s="6">
        <f>V30*'Front page'!$E$3</f>
        <v>0</v>
      </c>
      <c r="AR30" s="6">
        <f>X30*'Front page'!$E$3</f>
        <v>0</v>
      </c>
      <c r="AS30" s="6">
        <f t="shared" si="7"/>
        <v>74255197.842086613</v>
      </c>
      <c r="AT30" s="7">
        <f>IF(AS30&gt;'Funding Comparison'!D30*(1+'Front page'!$H$10),'Funding Comparison'!D30*(1+'Front page'!$H$10),AS30)</f>
        <v>74255197.842086613</v>
      </c>
    </row>
    <row r="31" spans="1:46">
      <c r="A31" t="str">
        <f t="shared" si="0"/>
        <v>132</v>
      </c>
      <c r="B31">
        <f t="shared" si="2"/>
        <v>132</v>
      </c>
      <c r="C31" s="15" t="s">
        <v>40</v>
      </c>
      <c r="D31">
        <f>IF(settings!$G$4=0,'Student Enrollment Data'!AX32,'Student Enrollment Data'!CK32)</f>
        <v>6083</v>
      </c>
      <c r="E31">
        <f>IF(settings!$G$4=0,'Student Enrollment Data'!AY32,'Student Enrollment Data'!CL32)</f>
        <v>1772</v>
      </c>
      <c r="F31">
        <f>IF(settings!$G$4=0,'Student Enrollment Data'!AZ32,'Student Enrollment Data'!CM32)</f>
        <v>1792</v>
      </c>
      <c r="G31" s="25">
        <f>'Student Enrollment Data'!BK32</f>
        <v>768</v>
      </c>
      <c r="H31">
        <f>'Student Enrollment Data'!BF32</f>
        <v>2722.12</v>
      </c>
      <c r="I31">
        <f>SUM('Student Enrollment Data'!R32:X32,'Student Enrollment Data'!AQ32:AW32)</f>
        <v>344.30795848237273</v>
      </c>
      <c r="J31">
        <f>'Student Enrollment Data'!BS32</f>
        <v>1599</v>
      </c>
      <c r="K31">
        <f t="shared" si="3"/>
        <v>608.30000000000007</v>
      </c>
      <c r="M31" s="30">
        <f t="shared" si="1"/>
        <v>6083</v>
      </c>
      <c r="N31" s="30">
        <f>E31*'Front page'!$B$20</f>
        <v>177.20000000000002</v>
      </c>
      <c r="O31" s="30">
        <f>F31*'Front page'!$B$21</f>
        <v>179.20000000000002</v>
      </c>
      <c r="P31">
        <f>G31*'Front page'!$B$18</f>
        <v>499.20000000000005</v>
      </c>
      <c r="Q31" s="30">
        <f>IF(settings!$B$4=0,Calculations!H31,Calculations!I31) *'Front page'!$B$11</f>
        <v>272.21199999999999</v>
      </c>
      <c r="R31" s="31">
        <f>ROUND(I31*'Front page'!$B$9,2)</f>
        <v>0</v>
      </c>
      <c r="S31" s="30">
        <f>J31*'Front page'!$B$14</f>
        <v>159.9</v>
      </c>
      <c r="T31" s="103">
        <f>'Front page'!$B$16*Calculations!K31</f>
        <v>12.166000000000002</v>
      </c>
      <c r="U31" s="103">
        <f>IF(settings!$B$13=0,(Calculations!M31*'District Wealth Adjustment'!M30)-Calculations!M31,0)</f>
        <v>608.30000000000018</v>
      </c>
      <c r="V31" s="185">
        <f>VLOOKUP(B31,'Remote School Building Weight'!$M$2:$P$174,3,FALSE)</f>
        <v>0</v>
      </c>
      <c r="W31" s="25">
        <f>'Small Dist Weight'!V30-Calculations!D31</f>
        <v>0</v>
      </c>
      <c r="X31" s="25">
        <f>IF(settings!$P$9=0,'Large District Weight'!H30*'Large District Weight'!G30,0)</f>
        <v>0</v>
      </c>
      <c r="Y31" s="25">
        <f t="shared" si="4"/>
        <v>7991.1779999999999</v>
      </c>
      <c r="Z31" s="25">
        <f>IF(settings!$F$13=0,'Teacher Exp'!L31,0)</f>
        <v>0</v>
      </c>
      <c r="AA31" s="25">
        <f t="shared" si="5"/>
        <v>7991.1779999999999</v>
      </c>
      <c r="AC31" s="26">
        <f>'Student Enrollment Data'!BU32</f>
        <v>227</v>
      </c>
      <c r="AD31" s="26">
        <f t="shared" si="6"/>
        <v>608.30000000000007</v>
      </c>
      <c r="AE31" s="26">
        <f>AD31*'Front page'!$B$16</f>
        <v>12.166000000000002</v>
      </c>
      <c r="AG31" s="6">
        <f>M31*'Front page'!$E$3</f>
        <v>25772402.512170885</v>
      </c>
      <c r="AH31" s="6">
        <f>N31*'Front page'!$E$3</f>
        <v>750759.4484886867</v>
      </c>
      <c r="AI31" s="6">
        <f>O31*'Front page'!$E$3</f>
        <v>759233.03142873954</v>
      </c>
      <c r="AJ31" s="6">
        <f>P31*'Front page'!$E$3</f>
        <v>2115006.3018372031</v>
      </c>
      <c r="AK31" s="6">
        <f>Q31*'Front page'!$E$3</f>
        <v>1153305.4796388394</v>
      </c>
      <c r="AL31" s="6">
        <f>S31*'Front page'!$E$3</f>
        <v>677462.95605722908</v>
      </c>
      <c r="AM31" s="5">
        <f>Z31*'Front page'!$E$3</f>
        <v>0</v>
      </c>
      <c r="AN31" s="6">
        <f>T31*'Front page'!$E$3</f>
        <v>51544.805024341775</v>
      </c>
      <c r="AO31" s="6">
        <f>U31*'Front page'!$E$3</f>
        <v>2577240.2512170891</v>
      </c>
      <c r="AP31" s="6">
        <f>W31*'Front page'!$E$3</f>
        <v>0</v>
      </c>
      <c r="AQ31" s="6">
        <f>V31*'Front page'!$E$3</f>
        <v>0</v>
      </c>
      <c r="AR31" s="6">
        <f>X31*'Front page'!$E$3</f>
        <v>0</v>
      </c>
      <c r="AS31" s="6">
        <f t="shared" si="7"/>
        <v>33856954.785863012</v>
      </c>
      <c r="AT31" s="7">
        <f>IF(AS31&gt;'Funding Comparison'!D31*(1+'Front page'!$H$10),'Funding Comparison'!D31*(1+'Front page'!$H$10),AS31)</f>
        <v>33254308.730999999</v>
      </c>
    </row>
    <row r="32" spans="1:46">
      <c r="A32" t="str">
        <f t="shared" si="0"/>
        <v>133</v>
      </c>
      <c r="B32">
        <f t="shared" si="2"/>
        <v>133</v>
      </c>
      <c r="C32" s="15" t="s">
        <v>41</v>
      </c>
      <c r="D32">
        <f>IF(settings!$G$4=0,'Student Enrollment Data'!AX33,'Student Enrollment Data'!CK33)</f>
        <v>499.5</v>
      </c>
      <c r="E32">
        <f>IF(settings!$G$4=0,'Student Enrollment Data'!AY33,'Student Enrollment Data'!CL33)</f>
        <v>144.5</v>
      </c>
      <c r="F32">
        <f>IF(settings!$G$4=0,'Student Enrollment Data'!AZ33,'Student Enrollment Data'!CM33)</f>
        <v>128</v>
      </c>
      <c r="G32" s="25">
        <f>'Student Enrollment Data'!BK33</f>
        <v>65</v>
      </c>
      <c r="H32">
        <f>'Student Enrollment Data'!BF33</f>
        <v>225.3</v>
      </c>
      <c r="I32">
        <f>SUM('Student Enrollment Data'!R33:X33,'Student Enrollment Data'!AQ33:AW33)</f>
        <v>0</v>
      </c>
      <c r="J32">
        <f>'Student Enrollment Data'!BS33</f>
        <v>105</v>
      </c>
      <c r="K32">
        <f t="shared" si="3"/>
        <v>49.95</v>
      </c>
      <c r="M32" s="30">
        <f t="shared" si="1"/>
        <v>499.5</v>
      </c>
      <c r="N32" s="30">
        <f>E32*'Front page'!$B$20</f>
        <v>14.450000000000001</v>
      </c>
      <c r="O32" s="30">
        <f>F32*'Front page'!$B$21</f>
        <v>12.8</v>
      </c>
      <c r="P32">
        <f>G32*'Front page'!$B$18</f>
        <v>42.25</v>
      </c>
      <c r="Q32" s="30">
        <f>IF(settings!$B$4=0,Calculations!H32,Calculations!I32) *'Front page'!$B$11</f>
        <v>22.53</v>
      </c>
      <c r="R32" s="31">
        <f>ROUND(I32*'Front page'!$B$9,2)</f>
        <v>0</v>
      </c>
      <c r="S32" s="30">
        <f>J32*'Front page'!$B$14</f>
        <v>10.5</v>
      </c>
      <c r="T32" s="103">
        <f>'Front page'!$B$16*Calculations!K32</f>
        <v>0.99900000000000011</v>
      </c>
      <c r="U32" s="103">
        <f>IF(settings!$B$13=0,(Calculations!M32*'District Wealth Adjustment'!M31)-Calculations!M32,0)</f>
        <v>49.950000000000045</v>
      </c>
      <c r="V32" s="185">
        <f>VLOOKUP(B32,'Remote School Building Weight'!$M$2:$P$174,3,FALSE)</f>
        <v>0</v>
      </c>
      <c r="W32" s="25">
        <f>'Small Dist Weight'!V31-Calculations!D32</f>
        <v>168.25124020376177</v>
      </c>
      <c r="X32" s="25">
        <f>IF(settings!$P$9=0,'Large District Weight'!H31*'Large District Weight'!G31,0)</f>
        <v>0</v>
      </c>
      <c r="Y32" s="25">
        <f t="shared" si="4"/>
        <v>821.23024020376181</v>
      </c>
      <c r="Z32" s="25">
        <f>IF(settings!$F$13=0,'Teacher Exp'!L32,0)</f>
        <v>0</v>
      </c>
      <c r="AA32" s="25">
        <f t="shared" si="5"/>
        <v>821.23024020376181</v>
      </c>
      <c r="AC32" s="26">
        <f>'Student Enrollment Data'!BU33</f>
        <v>7</v>
      </c>
      <c r="AD32" s="26">
        <f t="shared" si="6"/>
        <v>49.95</v>
      </c>
      <c r="AE32" s="26">
        <f>AD32*'Front page'!$B$16</f>
        <v>0.99900000000000011</v>
      </c>
      <c r="AG32" s="6">
        <f>M32*'Front page'!$E$3</f>
        <v>2116277.3392782109</v>
      </c>
      <c r="AH32" s="6">
        <f>N32*'Front page'!$E$3</f>
        <v>61221.636741882183</v>
      </c>
      <c r="AI32" s="6">
        <f>O32*'Front page'!$E$3</f>
        <v>54230.930816338543</v>
      </c>
      <c r="AJ32" s="6">
        <f>P32*'Front page'!$E$3</f>
        <v>179004.43960861742</v>
      </c>
      <c r="AK32" s="6">
        <f>Q32*'Front page'!$E$3</f>
        <v>95454.911819695888</v>
      </c>
      <c r="AL32" s="6">
        <f>S32*'Front page'!$E$3</f>
        <v>44486.310435277708</v>
      </c>
      <c r="AM32" s="5">
        <f>Z32*'Front page'!$E$3</f>
        <v>0</v>
      </c>
      <c r="AN32" s="6">
        <f>T32*'Front page'!$E$3</f>
        <v>4232.554678556422</v>
      </c>
      <c r="AO32" s="6">
        <f>U32*'Front page'!$E$3</f>
        <v>211627.73392782127</v>
      </c>
      <c r="AP32" s="6">
        <f>W32*'Front page'!$E$3</f>
        <v>712845.41931666888</v>
      </c>
      <c r="AQ32" s="6">
        <f>V32*'Front page'!$E$3</f>
        <v>0</v>
      </c>
      <c r="AR32" s="6">
        <f>X32*'Front page'!$E$3</f>
        <v>0</v>
      </c>
      <c r="AS32" s="6">
        <f t="shared" si="7"/>
        <v>3479381.2766230693</v>
      </c>
      <c r="AT32" s="7">
        <f>IF(AS32&gt;'Funding Comparison'!D32*(1+'Front page'!$H$10),'Funding Comparison'!D32*(1+'Front page'!$H$10),AS32)</f>
        <v>3390235.0249999999</v>
      </c>
    </row>
    <row r="33" spans="1:46">
      <c r="A33" t="str">
        <f t="shared" si="0"/>
        <v>134</v>
      </c>
      <c r="B33">
        <f t="shared" si="2"/>
        <v>134</v>
      </c>
      <c r="C33" s="15" t="s">
        <v>42</v>
      </c>
      <c r="D33">
        <f>IF(settings!$G$4=0,'Student Enrollment Data'!AX34,'Student Enrollment Data'!CK34)</f>
        <v>3922.5</v>
      </c>
      <c r="E33">
        <f>IF(settings!$G$4=0,'Student Enrollment Data'!AY34,'Student Enrollment Data'!CL34)</f>
        <v>987.5</v>
      </c>
      <c r="F33">
        <f>IF(settings!$G$4=0,'Student Enrollment Data'!AZ34,'Student Enrollment Data'!CM34)</f>
        <v>1327</v>
      </c>
      <c r="G33" s="25">
        <f>'Student Enrollment Data'!BK34</f>
        <v>379</v>
      </c>
      <c r="H33">
        <f>'Student Enrollment Data'!BF34</f>
        <v>1659</v>
      </c>
      <c r="I33">
        <f>SUM('Student Enrollment Data'!R34:X34,'Student Enrollment Data'!AQ34:AW34)</f>
        <v>119.13112270234268</v>
      </c>
      <c r="J33">
        <f>'Student Enrollment Data'!BS34</f>
        <v>108</v>
      </c>
      <c r="K33">
        <f t="shared" si="3"/>
        <v>392.25</v>
      </c>
      <c r="M33" s="30">
        <f t="shared" si="1"/>
        <v>3922.5</v>
      </c>
      <c r="N33" s="30">
        <f>E33*'Front page'!$B$20</f>
        <v>98.75</v>
      </c>
      <c r="O33" s="30">
        <f>F33*'Front page'!$B$21</f>
        <v>132.70000000000002</v>
      </c>
      <c r="P33">
        <f>G33*'Front page'!$B$18</f>
        <v>246.35</v>
      </c>
      <c r="Q33" s="30">
        <f>IF(settings!$B$4=0,Calculations!H33,Calculations!I33) *'Front page'!$B$11</f>
        <v>165.9</v>
      </c>
      <c r="R33" s="31">
        <f>ROUND(I33*'Front page'!$B$9,2)</f>
        <v>0</v>
      </c>
      <c r="S33" s="30">
        <f>J33*'Front page'!$B$14</f>
        <v>10.8</v>
      </c>
      <c r="T33" s="103">
        <f>'Front page'!$B$16*Calculations!K33</f>
        <v>7.8449999999999998</v>
      </c>
      <c r="U33" s="103">
        <f>IF(settings!$B$13=0,(Calculations!M33*'District Wealth Adjustment'!M32)-Calculations!M33,0)</f>
        <v>392.25</v>
      </c>
      <c r="V33" s="185">
        <f>VLOOKUP(B33,'Remote School Building Weight'!$M$2:$P$174,3,FALSE)</f>
        <v>0</v>
      </c>
      <c r="W33" s="25">
        <f>'Small Dist Weight'!V32-Calculations!D33</f>
        <v>0</v>
      </c>
      <c r="X33" s="25">
        <f>IF(settings!$P$9=0,'Large District Weight'!H32*'Large District Weight'!G32,0)</f>
        <v>0</v>
      </c>
      <c r="Y33" s="25">
        <f t="shared" si="4"/>
        <v>4977.0950000000003</v>
      </c>
      <c r="Z33" s="25">
        <f>IF(settings!$F$13=0,'Teacher Exp'!L33,0)</f>
        <v>0</v>
      </c>
      <c r="AA33" s="25">
        <f t="shared" si="5"/>
        <v>4977.0950000000003</v>
      </c>
      <c r="AC33" s="26">
        <f>'Student Enrollment Data'!BU34</f>
        <v>247</v>
      </c>
      <c r="AD33" s="26">
        <f t="shared" si="6"/>
        <v>392.25</v>
      </c>
      <c r="AE33" s="26">
        <f>AD33*'Front page'!$B$16</f>
        <v>7.8449999999999998</v>
      </c>
      <c r="AG33" s="6">
        <f>M33*'Front page'!$E$3</f>
        <v>16618814.541178742</v>
      </c>
      <c r="AH33" s="6">
        <f>N33*'Front page'!$E$3</f>
        <v>418383.15766511176</v>
      </c>
      <c r="AI33" s="6">
        <f>O33*'Front page'!$E$3</f>
        <v>562222.22807250975</v>
      </c>
      <c r="AJ33" s="6">
        <f>P33*'Front page'!$E$3</f>
        <v>1043733.5786410155</v>
      </c>
      <c r="AK33" s="6">
        <f>Q33*'Front page'!$E$3</f>
        <v>702883.70487738773</v>
      </c>
      <c r="AL33" s="6">
        <f>S33*'Front page'!$E$3</f>
        <v>45757.347876285647</v>
      </c>
      <c r="AM33" s="5">
        <f>Z33*'Front page'!$E$3</f>
        <v>0</v>
      </c>
      <c r="AN33" s="6">
        <f>T33*'Front page'!$E$3</f>
        <v>33237.629082357482</v>
      </c>
      <c r="AO33" s="6">
        <f>U33*'Front page'!$E$3</f>
        <v>1661881.4541178744</v>
      </c>
      <c r="AP33" s="6">
        <f>W33*'Front page'!$E$3</f>
        <v>0</v>
      </c>
      <c r="AQ33" s="6">
        <f>V33*'Front page'!$E$3</f>
        <v>0</v>
      </c>
      <c r="AR33" s="6">
        <f>X33*'Front page'!$E$3</f>
        <v>0</v>
      </c>
      <c r="AS33" s="6">
        <f t="shared" si="7"/>
        <v>21086913.641511284</v>
      </c>
      <c r="AT33" s="7">
        <f>IF(AS33&gt;'Funding Comparison'!D33*(1+'Front page'!$H$10),'Funding Comparison'!D33*(1+'Front page'!$H$10),AS33)</f>
        <v>21072041.425000001</v>
      </c>
    </row>
    <row r="34" spans="1:46">
      <c r="A34" t="str">
        <f t="shared" si="0"/>
        <v>135</v>
      </c>
      <c r="B34">
        <f t="shared" si="2"/>
        <v>135</v>
      </c>
      <c r="C34" s="15" t="s">
        <v>43</v>
      </c>
      <c r="D34">
        <f>IF(settings!$G$4=0,'Student Enrollment Data'!AX35,'Student Enrollment Data'!CK35)</f>
        <v>413.5</v>
      </c>
      <c r="E34">
        <f>IF(settings!$G$4=0,'Student Enrollment Data'!AY35,'Student Enrollment Data'!CL35)</f>
        <v>91.5</v>
      </c>
      <c r="F34">
        <f>IF(settings!$G$4=0,'Student Enrollment Data'!AZ35,'Student Enrollment Data'!CM35)</f>
        <v>136</v>
      </c>
      <c r="G34" s="25">
        <f>'Student Enrollment Data'!BK35</f>
        <v>53</v>
      </c>
      <c r="H34">
        <f>'Student Enrollment Data'!BF35</f>
        <v>253</v>
      </c>
      <c r="I34">
        <f>SUM('Student Enrollment Data'!R35:X35,'Student Enrollment Data'!AQ35:AW35)</f>
        <v>0</v>
      </c>
      <c r="J34">
        <f>'Student Enrollment Data'!BS35</f>
        <v>39</v>
      </c>
      <c r="K34">
        <f t="shared" si="3"/>
        <v>41.35</v>
      </c>
      <c r="M34" s="30">
        <f t="shared" si="1"/>
        <v>413.5</v>
      </c>
      <c r="N34" s="30">
        <f>E34*'Front page'!$B$20</f>
        <v>9.15</v>
      </c>
      <c r="O34" s="30">
        <f>F34*'Front page'!$B$21</f>
        <v>13.600000000000001</v>
      </c>
      <c r="P34">
        <f>G34*'Front page'!$B$18</f>
        <v>34.450000000000003</v>
      </c>
      <c r="Q34" s="30">
        <f>IF(settings!$B$4=0,Calculations!H34,Calculations!I34) *'Front page'!$B$11</f>
        <v>25.3</v>
      </c>
      <c r="R34" s="31">
        <f>ROUND(I34*'Front page'!$B$9,2)</f>
        <v>0</v>
      </c>
      <c r="S34" s="30">
        <f>J34*'Front page'!$B$14</f>
        <v>3.9000000000000004</v>
      </c>
      <c r="T34" s="103">
        <f>'Front page'!$B$16*Calculations!K34</f>
        <v>0.82700000000000007</v>
      </c>
      <c r="U34" s="103">
        <f>IF(settings!$B$13=0,(Calculations!M34*'District Wealth Adjustment'!M33)-Calculations!M34,0)</f>
        <v>41.350000000000023</v>
      </c>
      <c r="V34" s="185">
        <f>VLOOKUP(B34,'Remote School Building Weight'!$M$2:$P$174,3,FALSE)</f>
        <v>0</v>
      </c>
      <c r="W34" s="25">
        <f>'Small Dist Weight'!V33-Calculations!D34</f>
        <v>184.33659286833858</v>
      </c>
      <c r="X34" s="25">
        <f>IF(settings!$P$9=0,'Large District Weight'!H33*'Large District Weight'!G33,0)</f>
        <v>0</v>
      </c>
      <c r="Y34" s="25">
        <f t="shared" si="4"/>
        <v>726.41359286833858</v>
      </c>
      <c r="Z34" s="25">
        <f>IF(settings!$F$13=0,'Teacher Exp'!L34,0)</f>
        <v>0</v>
      </c>
      <c r="AA34" s="25">
        <f t="shared" si="5"/>
        <v>726.41359286833858</v>
      </c>
      <c r="AC34" s="26">
        <f>'Student Enrollment Data'!BU35</f>
        <v>14</v>
      </c>
      <c r="AD34" s="26">
        <f t="shared" si="6"/>
        <v>41.35</v>
      </c>
      <c r="AE34" s="26">
        <f>AD34*'Front page'!$B$16</f>
        <v>0.82700000000000007</v>
      </c>
      <c r="AG34" s="6">
        <f>M34*'Front page'!$E$3</f>
        <v>1751913.2728559363</v>
      </c>
      <c r="AH34" s="6">
        <f>N34*'Front page'!$E$3</f>
        <v>38766.641950742</v>
      </c>
      <c r="AI34" s="6">
        <f>O34*'Front page'!$E$3</f>
        <v>57620.3639923597</v>
      </c>
      <c r="AJ34" s="6">
        <f>P34*'Front page'!$E$3</f>
        <v>145957.46614241114</v>
      </c>
      <c r="AK34" s="6">
        <f>Q34*'Front page'!$E$3</f>
        <v>107190.82419166915</v>
      </c>
      <c r="AL34" s="6">
        <f>S34*'Front page'!$E$3</f>
        <v>16523.486733103149</v>
      </c>
      <c r="AM34" s="5">
        <f>Z34*'Front page'!$E$3</f>
        <v>0</v>
      </c>
      <c r="AN34" s="6">
        <f>T34*'Front page'!$E$3</f>
        <v>3503.8265457118728</v>
      </c>
      <c r="AO34" s="6">
        <f>U34*'Front page'!$E$3</f>
        <v>175191.32728559372</v>
      </c>
      <c r="AP34" s="6">
        <f>W34*'Front page'!$E$3</f>
        <v>780995.70427831507</v>
      </c>
      <c r="AQ34" s="6">
        <f>V34*'Front page'!$E$3</f>
        <v>0</v>
      </c>
      <c r="AR34" s="6">
        <f>X34*'Front page'!$E$3</f>
        <v>0</v>
      </c>
      <c r="AS34" s="6">
        <f t="shared" si="7"/>
        <v>3077662.9139758423</v>
      </c>
      <c r="AT34" s="7">
        <f>IF(AS34&gt;'Funding Comparison'!D34*(1+'Front page'!$H$10),'Funding Comparison'!D34*(1+'Front page'!$H$10),AS34)</f>
        <v>3048934.35</v>
      </c>
    </row>
    <row r="35" spans="1:46">
      <c r="A35" t="str">
        <f t="shared" si="0"/>
        <v>136</v>
      </c>
      <c r="B35">
        <f t="shared" si="2"/>
        <v>136</v>
      </c>
      <c r="C35" s="15" t="s">
        <v>44</v>
      </c>
      <c r="D35">
        <f>IF(settings!$G$4=0,'Student Enrollment Data'!AX36,'Student Enrollment Data'!CK36)</f>
        <v>837</v>
      </c>
      <c r="E35">
        <f>IF(settings!$G$4=0,'Student Enrollment Data'!AY36,'Student Enrollment Data'!CL36)</f>
        <v>188</v>
      </c>
      <c r="F35">
        <f>IF(settings!$G$4=0,'Student Enrollment Data'!AZ36,'Student Enrollment Data'!CM36)</f>
        <v>282</v>
      </c>
      <c r="G35" s="25">
        <f>'Student Enrollment Data'!BK36</f>
        <v>75</v>
      </c>
      <c r="H35">
        <f>'Student Enrollment Data'!BF36</f>
        <v>341</v>
      </c>
      <c r="I35">
        <f>SUM('Student Enrollment Data'!R36:X36,'Student Enrollment Data'!AQ36:AW36)</f>
        <v>0</v>
      </c>
      <c r="J35">
        <f>'Student Enrollment Data'!BS36</f>
        <v>77</v>
      </c>
      <c r="K35">
        <f t="shared" si="3"/>
        <v>83.7</v>
      </c>
      <c r="M35" s="30">
        <f t="shared" ref="M35:M66" si="8">MAX(D35,30)</f>
        <v>837</v>
      </c>
      <c r="N35" s="30">
        <f>E35*'Front page'!$B$20</f>
        <v>18.8</v>
      </c>
      <c r="O35" s="30">
        <f>F35*'Front page'!$B$21</f>
        <v>28.200000000000003</v>
      </c>
      <c r="P35">
        <f>G35*'Front page'!$B$18</f>
        <v>48.75</v>
      </c>
      <c r="Q35" s="30">
        <f>IF(settings!$B$4=0,Calculations!H35,Calculations!I35) *'Front page'!$B$11</f>
        <v>34.1</v>
      </c>
      <c r="R35" s="31">
        <f>ROUND(I35*'Front page'!$B$9,2)</f>
        <v>0</v>
      </c>
      <c r="S35" s="30">
        <f>J35*'Front page'!$B$14</f>
        <v>7.7</v>
      </c>
      <c r="T35" s="103">
        <f>'Front page'!$B$16*Calculations!K35</f>
        <v>1.6740000000000002</v>
      </c>
      <c r="U35" s="103">
        <f>IF(settings!$B$13=0,(Calculations!M35*'District Wealth Adjustment'!M34)-Calculations!M35,0)</f>
        <v>83.700000000000045</v>
      </c>
      <c r="V35" s="185">
        <f>VLOOKUP(B35,'Remote School Building Weight'!$M$2:$P$174,3,FALSE)</f>
        <v>0</v>
      </c>
      <c r="W35" s="25">
        <f>'Small Dist Weight'!V34-Calculations!D35</f>
        <v>115.23025862068971</v>
      </c>
      <c r="X35" s="25">
        <f>IF(settings!$P$9=0,'Large District Weight'!H34*'Large District Weight'!G34,0)</f>
        <v>0</v>
      </c>
      <c r="Y35" s="25">
        <f t="shared" si="4"/>
        <v>1175.1542586206897</v>
      </c>
      <c r="Z35" s="25">
        <f>IF(settings!$F$13=0,'Teacher Exp'!L35,0)</f>
        <v>0</v>
      </c>
      <c r="AA35" s="25">
        <f t="shared" si="5"/>
        <v>1175.1542586206897</v>
      </c>
      <c r="AC35" s="26">
        <f>'Student Enrollment Data'!BU36</f>
        <v>0</v>
      </c>
      <c r="AD35" s="26">
        <f t="shared" si="6"/>
        <v>83.7</v>
      </c>
      <c r="AE35" s="26">
        <f>AD35*'Front page'!$B$16</f>
        <v>1.6740000000000002</v>
      </c>
      <c r="AG35" s="6">
        <f>M35*'Front page'!$E$3</f>
        <v>3546194.4604121372</v>
      </c>
      <c r="AH35" s="6">
        <f>N35*'Front page'!$E$3</f>
        <v>79651.679636497225</v>
      </c>
      <c r="AI35" s="6">
        <f>O35*'Front page'!$E$3</f>
        <v>119477.51945474585</v>
      </c>
      <c r="AJ35" s="6">
        <f>P35*'Front page'!$E$3</f>
        <v>206543.58416378935</v>
      </c>
      <c r="AK35" s="6">
        <f>Q35*'Front page'!$E$3</f>
        <v>144474.58912790188</v>
      </c>
      <c r="AL35" s="6">
        <f>S35*'Front page'!$E$3</f>
        <v>32623.294319203651</v>
      </c>
      <c r="AM35" s="5">
        <f>Z35*'Front page'!$E$3</f>
        <v>0</v>
      </c>
      <c r="AN35" s="6">
        <f>T35*'Front page'!$E$3</f>
        <v>7092.3889208242754</v>
      </c>
      <c r="AO35" s="6">
        <f>U35*'Front page'!$E$3</f>
        <v>354619.44604121393</v>
      </c>
      <c r="AP35" s="6">
        <f>W35*'Front page'!$E$3</f>
        <v>488206.57681307977</v>
      </c>
      <c r="AQ35" s="6">
        <f>V35*'Front page'!$E$3</f>
        <v>0</v>
      </c>
      <c r="AR35" s="6">
        <f>X35*'Front page'!$E$3</f>
        <v>0</v>
      </c>
      <c r="AS35" s="6">
        <f t="shared" si="7"/>
        <v>4978883.5388893923</v>
      </c>
      <c r="AT35" s="7">
        <f>IF(AS35&gt;'Funding Comparison'!D35*(1+'Front page'!$H$10),'Funding Comparison'!D35*(1+'Front page'!$H$10),AS35)</f>
        <v>4978883.5388893923</v>
      </c>
    </row>
    <row r="36" spans="1:46">
      <c r="A36" t="str">
        <f t="shared" si="0"/>
        <v>137</v>
      </c>
      <c r="B36">
        <f t="shared" si="2"/>
        <v>137</v>
      </c>
      <c r="C36" s="15" t="s">
        <v>45</v>
      </c>
      <c r="D36">
        <f>IF(settings!$G$4=0,'Student Enrollment Data'!AX37,'Student Enrollment Data'!CK37)</f>
        <v>1031</v>
      </c>
      <c r="E36">
        <f>IF(settings!$G$4=0,'Student Enrollment Data'!AY37,'Student Enrollment Data'!CL37)</f>
        <v>267</v>
      </c>
      <c r="F36">
        <f>IF(settings!$G$4=0,'Student Enrollment Data'!AZ37,'Student Enrollment Data'!CM37)</f>
        <v>332</v>
      </c>
      <c r="G36" s="25">
        <f>'Student Enrollment Data'!BK37</f>
        <v>119</v>
      </c>
      <c r="H36">
        <f>'Student Enrollment Data'!BF37</f>
        <v>557</v>
      </c>
      <c r="I36">
        <f>SUM('Student Enrollment Data'!R37:X37,'Student Enrollment Data'!AQ37:AW37)</f>
        <v>0</v>
      </c>
      <c r="J36">
        <f>'Student Enrollment Data'!BS37</f>
        <v>120</v>
      </c>
      <c r="K36">
        <f t="shared" si="3"/>
        <v>103.10000000000001</v>
      </c>
      <c r="M36" s="30">
        <f t="shared" si="8"/>
        <v>1031</v>
      </c>
      <c r="N36" s="30">
        <f>E36*'Front page'!$B$20</f>
        <v>26.700000000000003</v>
      </c>
      <c r="O36" s="30">
        <f>F36*'Front page'!$B$21</f>
        <v>33.200000000000003</v>
      </c>
      <c r="P36">
        <f>G36*'Front page'!$B$18</f>
        <v>77.350000000000009</v>
      </c>
      <c r="Q36" s="30">
        <f>IF(settings!$B$4=0,Calculations!H36,Calculations!I36) *'Front page'!$B$11</f>
        <v>55.7</v>
      </c>
      <c r="R36" s="31">
        <f>ROUND(I36*'Front page'!$B$9,2)</f>
        <v>0</v>
      </c>
      <c r="S36" s="30">
        <f>J36*'Front page'!$B$14</f>
        <v>12</v>
      </c>
      <c r="T36" s="103">
        <f>'Front page'!$B$16*Calculations!K36</f>
        <v>2.0620000000000003</v>
      </c>
      <c r="U36" s="103">
        <f>IF(settings!$B$13=0,(Calculations!M36*'District Wealth Adjustment'!M35)-Calculations!M36,0)</f>
        <v>103.10000000000014</v>
      </c>
      <c r="V36" s="185">
        <f>VLOOKUP(B36,'Remote School Building Weight'!$M$2:$P$174,3,FALSE)</f>
        <v>0</v>
      </c>
      <c r="W36" s="25">
        <f>'Small Dist Weight'!V35-Calculations!D36</f>
        <v>111.23060344827582</v>
      </c>
      <c r="X36" s="25">
        <f>IF(settings!$P$9=0,'Large District Weight'!H35*'Large District Weight'!G35,0)</f>
        <v>0</v>
      </c>
      <c r="Y36" s="25">
        <f t="shared" si="4"/>
        <v>1452.3426034482759</v>
      </c>
      <c r="Z36" s="25">
        <f>IF(settings!$F$13=0,'Teacher Exp'!L36,0)</f>
        <v>0</v>
      </c>
      <c r="AA36" s="25">
        <f t="shared" si="5"/>
        <v>1452.3426034482759</v>
      </c>
      <c r="AC36" s="26">
        <f>'Student Enrollment Data'!BU37</f>
        <v>38</v>
      </c>
      <c r="AD36" s="26">
        <f t="shared" si="6"/>
        <v>103.10000000000001</v>
      </c>
      <c r="AE36" s="26">
        <f>AD36*'Front page'!$B$16</f>
        <v>2.0620000000000003</v>
      </c>
      <c r="AG36" s="6">
        <f>M36*'Front page'!$E$3</f>
        <v>4368132.0055972682</v>
      </c>
      <c r="AH36" s="6">
        <f>N36*'Front page'!$E$3</f>
        <v>113122.33224970617</v>
      </c>
      <c r="AI36" s="6">
        <f>O36*'Front page'!$E$3</f>
        <v>140661.4768048781</v>
      </c>
      <c r="AJ36" s="6">
        <f>P36*'Front page'!$E$3</f>
        <v>327715.82020654582</v>
      </c>
      <c r="AK36" s="6">
        <f>Q36*'Front page'!$E$3</f>
        <v>235989.28488047319</v>
      </c>
      <c r="AL36" s="6">
        <f>S36*'Front page'!$E$3</f>
        <v>50841.497640317379</v>
      </c>
      <c r="AM36" s="5">
        <f>Z36*'Front page'!$E$3</f>
        <v>0</v>
      </c>
      <c r="AN36" s="6">
        <f>T36*'Front page'!$E$3</f>
        <v>8736.2640111945366</v>
      </c>
      <c r="AO36" s="6">
        <f>U36*'Front page'!$E$3</f>
        <v>436813.20055972738</v>
      </c>
      <c r="AP36" s="6">
        <f>W36*'Front page'!$E$3</f>
        <v>471260.87189554941</v>
      </c>
      <c r="AQ36" s="6">
        <f>V36*'Front page'!$E$3</f>
        <v>0</v>
      </c>
      <c r="AR36" s="6">
        <f>X36*'Front page'!$E$3</f>
        <v>0</v>
      </c>
      <c r="AS36" s="6">
        <f t="shared" si="7"/>
        <v>6153272.7538456619</v>
      </c>
      <c r="AT36" s="7">
        <f>IF(AS36&gt;'Funding Comparison'!D36*(1+'Front page'!$H$10),'Funding Comparison'!D36*(1+'Front page'!$H$10),AS36)</f>
        <v>6153272.7538456619</v>
      </c>
    </row>
    <row r="37" spans="1:46">
      <c r="A37" t="str">
        <f t="shared" si="0"/>
        <v>139</v>
      </c>
      <c r="B37">
        <f t="shared" si="2"/>
        <v>139</v>
      </c>
      <c r="C37" s="15" t="s">
        <v>46</v>
      </c>
      <c r="D37">
        <f>IF(settings!$G$4=0,'Student Enrollment Data'!AX38,'Student Enrollment Data'!CK38)</f>
        <v>8646.5</v>
      </c>
      <c r="E37">
        <f>IF(settings!$G$4=0,'Student Enrollment Data'!AY38,'Student Enrollment Data'!CL38)</f>
        <v>2373.5</v>
      </c>
      <c r="F37">
        <f>IF(settings!$G$4=0,'Student Enrollment Data'!AZ38,'Student Enrollment Data'!CM38)</f>
        <v>2576</v>
      </c>
      <c r="G37" s="25">
        <f>'Student Enrollment Data'!BK38</f>
        <v>946</v>
      </c>
      <c r="H37">
        <f>'Student Enrollment Data'!BF38</f>
        <v>5098</v>
      </c>
      <c r="I37">
        <f>SUM('Student Enrollment Data'!R38:X38,'Student Enrollment Data'!AQ38:AW38)</f>
        <v>328.71289148399774</v>
      </c>
      <c r="J37">
        <f>'Student Enrollment Data'!BS38</f>
        <v>1335</v>
      </c>
      <c r="K37">
        <f t="shared" si="3"/>
        <v>864.65000000000009</v>
      </c>
      <c r="M37" s="30">
        <f t="shared" si="8"/>
        <v>8646.5</v>
      </c>
      <c r="N37" s="30">
        <f>E37*'Front page'!$B$20</f>
        <v>237.35000000000002</v>
      </c>
      <c r="O37" s="30">
        <f>F37*'Front page'!$B$21</f>
        <v>257.60000000000002</v>
      </c>
      <c r="P37">
        <f>G37*'Front page'!$B$18</f>
        <v>614.9</v>
      </c>
      <c r="Q37" s="30">
        <f>IF(settings!$B$4=0,Calculations!H37,Calculations!I37) *'Front page'!$B$11</f>
        <v>509.8</v>
      </c>
      <c r="R37" s="31">
        <f>ROUND(I37*'Front page'!$B$9,2)</f>
        <v>0</v>
      </c>
      <c r="S37" s="30">
        <f>J37*'Front page'!$B$14</f>
        <v>133.5</v>
      </c>
      <c r="T37" s="103">
        <f>'Front page'!$B$16*Calculations!K37</f>
        <v>17.293000000000003</v>
      </c>
      <c r="U37" s="103">
        <f>IF(settings!$B$13=0,(Calculations!M37*'District Wealth Adjustment'!M36)-Calculations!M37,0)</f>
        <v>864.65000000000146</v>
      </c>
      <c r="V37" s="185">
        <f>VLOOKUP(B37,'Remote School Building Weight'!$M$2:$P$174,3,FALSE)</f>
        <v>0</v>
      </c>
      <c r="W37" s="25">
        <f>'Small Dist Weight'!V36-Calculations!D37</f>
        <v>0</v>
      </c>
      <c r="X37" s="25">
        <f>IF(settings!$P$9=0,'Large District Weight'!H36*'Large District Weight'!G36,0)</f>
        <v>0</v>
      </c>
      <c r="Y37" s="25">
        <f t="shared" si="4"/>
        <v>11281.593000000001</v>
      </c>
      <c r="Z37" s="25">
        <f>IF(settings!$F$13=0,'Teacher Exp'!L37,0)</f>
        <v>0</v>
      </c>
      <c r="AA37" s="25">
        <f t="shared" si="5"/>
        <v>11281.593000000001</v>
      </c>
      <c r="AC37" s="26">
        <f>'Student Enrollment Data'!BU38</f>
        <v>242</v>
      </c>
      <c r="AD37" s="26">
        <f t="shared" si="6"/>
        <v>864.65000000000009</v>
      </c>
      <c r="AE37" s="26">
        <f>AD37*'Front page'!$B$16</f>
        <v>17.293000000000003</v>
      </c>
      <c r="AG37" s="6">
        <f>M37*'Front page'!$E$3</f>
        <v>36633417.445583686</v>
      </c>
      <c r="AH37" s="6">
        <f>N37*'Front page'!$E$3</f>
        <v>1005602.4554107776</v>
      </c>
      <c r="AI37" s="6">
        <f>O37*'Front page'!$E$3</f>
        <v>1091397.4826788132</v>
      </c>
      <c r="AJ37" s="6">
        <f>P37*'Front page'!$E$3</f>
        <v>2605203.0749192629</v>
      </c>
      <c r="AK37" s="6">
        <f>Q37*'Front page'!$E$3</f>
        <v>2159916.2914194833</v>
      </c>
      <c r="AL37" s="6">
        <f>S37*'Front page'!$E$3</f>
        <v>565611.66124853084</v>
      </c>
      <c r="AM37" s="5">
        <f>Z37*'Front page'!$E$3</f>
        <v>0</v>
      </c>
      <c r="AN37" s="6">
        <f>T37*'Front page'!$E$3</f>
        <v>73266.834891167382</v>
      </c>
      <c r="AO37" s="6">
        <f>U37*'Front page'!$E$3</f>
        <v>3663341.7445583744</v>
      </c>
      <c r="AP37" s="6">
        <f>W37*'Front page'!$E$3</f>
        <v>0</v>
      </c>
      <c r="AQ37" s="6">
        <f>V37*'Front page'!$E$3</f>
        <v>0</v>
      </c>
      <c r="AR37" s="6">
        <f>X37*'Front page'!$E$3</f>
        <v>0</v>
      </c>
      <c r="AS37" s="6">
        <f t="shared" si="7"/>
        <v>47797756.990710095</v>
      </c>
      <c r="AT37" s="7">
        <f>IF(AS37&gt;'Funding Comparison'!D37*(1+'Front page'!$H$10),'Funding Comparison'!D37*(1+'Front page'!$H$10),AS37)</f>
        <v>45977747.850000001</v>
      </c>
    </row>
    <row r="38" spans="1:46">
      <c r="A38" t="str">
        <f t="shared" si="0"/>
        <v>148</v>
      </c>
      <c r="B38">
        <f t="shared" si="2"/>
        <v>148</v>
      </c>
      <c r="C38" s="15" t="s">
        <v>47</v>
      </c>
      <c r="D38">
        <f>IF(settings!$G$4=0,'Student Enrollment Data'!AX39,'Student Enrollment Data'!CK39)</f>
        <v>502.5</v>
      </c>
      <c r="E38">
        <f>IF(settings!$G$4=0,'Student Enrollment Data'!AY39,'Student Enrollment Data'!CL39)</f>
        <v>140.5</v>
      </c>
      <c r="F38">
        <f>IF(settings!$G$4=0,'Student Enrollment Data'!AZ39,'Student Enrollment Data'!CM39)</f>
        <v>148</v>
      </c>
      <c r="G38" s="25">
        <f>'Student Enrollment Data'!BK39</f>
        <v>71</v>
      </c>
      <c r="H38">
        <f>'Student Enrollment Data'!BF39</f>
        <v>223</v>
      </c>
      <c r="I38">
        <f>SUM('Student Enrollment Data'!R39:X39,'Student Enrollment Data'!AQ39:AW39)</f>
        <v>0</v>
      </c>
      <c r="J38">
        <f>'Student Enrollment Data'!BS39</f>
        <v>42.39274128674618</v>
      </c>
      <c r="K38">
        <f t="shared" si="3"/>
        <v>50.25</v>
      </c>
      <c r="M38" s="30">
        <f t="shared" si="8"/>
        <v>502.5</v>
      </c>
      <c r="N38" s="30">
        <f>E38*'Front page'!$B$20</f>
        <v>14.05</v>
      </c>
      <c r="O38" s="30">
        <f>F38*'Front page'!$B$21</f>
        <v>14.8</v>
      </c>
      <c r="P38">
        <f>G38*'Front page'!$B$18</f>
        <v>46.15</v>
      </c>
      <c r="Q38" s="30">
        <f>IF(settings!$B$4=0,Calculations!H38,Calculations!I38) *'Front page'!$B$11</f>
        <v>22.3</v>
      </c>
      <c r="R38" s="31">
        <f>ROUND(I38*'Front page'!$B$9,2)</f>
        <v>0</v>
      </c>
      <c r="S38" s="30">
        <f>J38*'Front page'!$B$14</f>
        <v>4.2392741286746185</v>
      </c>
      <c r="T38" s="103">
        <f>'Front page'!$B$16*Calculations!K38</f>
        <v>1.0050000000000001</v>
      </c>
      <c r="U38" s="103">
        <f>IF(settings!$B$13=0,(Calculations!M38*'District Wealth Adjustment'!M37)-Calculations!M38,0)</f>
        <v>50.25</v>
      </c>
      <c r="V38" s="185">
        <f>VLOOKUP(B38,'Remote School Building Weight'!$M$2:$P$174,3,FALSE)</f>
        <v>57.681353595170457</v>
      </c>
      <c r="W38" s="25">
        <f>'Small Dist Weight'!V37-Calculations!D38</f>
        <v>171.21620101880876</v>
      </c>
      <c r="X38" s="25">
        <f>IF(settings!$P$9=0,'Large District Weight'!H37*'Large District Weight'!G37,0)</f>
        <v>0</v>
      </c>
      <c r="Y38" s="25">
        <f t="shared" si="4"/>
        <v>884.19182874265368</v>
      </c>
      <c r="Z38" s="25">
        <f>IF(settings!$F$13=0,'Teacher Exp'!L38,0)</f>
        <v>5.9680580933600593</v>
      </c>
      <c r="AA38" s="25">
        <f t="shared" si="5"/>
        <v>890.1598868360137</v>
      </c>
      <c r="AC38" s="26">
        <f>'Student Enrollment Data'!BU39</f>
        <v>0</v>
      </c>
      <c r="AD38" s="26">
        <f t="shared" si="6"/>
        <v>50.25</v>
      </c>
      <c r="AE38" s="26">
        <f>AD38*'Front page'!$B$16</f>
        <v>1.0050000000000001</v>
      </c>
      <c r="AG38" s="6">
        <f>M38*'Front page'!$E$3</f>
        <v>2128987.7136882902</v>
      </c>
      <c r="AH38" s="6">
        <f>N38*'Front page'!$E$3</f>
        <v>59526.920153871601</v>
      </c>
      <c r="AI38" s="6">
        <f>O38*'Front page'!$E$3</f>
        <v>62704.51375639144</v>
      </c>
      <c r="AJ38" s="6">
        <f>P38*'Front page'!$E$3</f>
        <v>195527.92634172057</v>
      </c>
      <c r="AK38" s="6">
        <f>Q38*'Front page'!$E$3</f>
        <v>94480.449781589792</v>
      </c>
      <c r="AL38" s="6">
        <f>S38*'Front page'!$E$3</f>
        <v>17960.920467472428</v>
      </c>
      <c r="AM38" s="5">
        <f>Z38*'Front page'!$E$3</f>
        <v>25285.417622570207</v>
      </c>
      <c r="AN38" s="6">
        <f>T38*'Front page'!$E$3</f>
        <v>4257.9754273765811</v>
      </c>
      <c r="AO38" s="6">
        <f>U38*'Front page'!$E$3</f>
        <v>212898.77136882901</v>
      </c>
      <c r="AP38" s="6">
        <f>W38*'Front page'!$E$3</f>
        <v>725407.3400068226</v>
      </c>
      <c r="AQ38" s="6">
        <f>V38*'Front page'!$E$3</f>
        <v>244383.8668915976</v>
      </c>
      <c r="AR38" s="6">
        <f>X38*'Front page'!$E$3</f>
        <v>0</v>
      </c>
      <c r="AS38" s="6">
        <f t="shared" si="7"/>
        <v>3771421.8155065323</v>
      </c>
      <c r="AT38" s="7">
        <f>IF(AS38&gt;'Funding Comparison'!D38*(1+'Front page'!$H$10),'Funding Comparison'!D38*(1+'Front page'!$H$10),AS38)</f>
        <v>3771421.8155065323</v>
      </c>
    </row>
    <row r="39" spans="1:46">
      <c r="A39" t="str">
        <f t="shared" si="0"/>
        <v>149</v>
      </c>
      <c r="B39">
        <f t="shared" si="2"/>
        <v>149</v>
      </c>
      <c r="C39" s="15" t="s">
        <v>48</v>
      </c>
      <c r="D39">
        <f>IF(settings!$G$4=0,'Student Enrollment Data'!AX40,'Student Enrollment Data'!CK40)</f>
        <v>157</v>
      </c>
      <c r="E39">
        <f>IF(settings!$G$4=0,'Student Enrollment Data'!AY40,'Student Enrollment Data'!CL40)</f>
        <v>37</v>
      </c>
      <c r="F39">
        <f>IF(settings!$G$4=0,'Student Enrollment Data'!AZ40,'Student Enrollment Data'!CM40)</f>
        <v>59</v>
      </c>
      <c r="G39" s="25">
        <f>'Student Enrollment Data'!BK40</f>
        <v>33</v>
      </c>
      <c r="H39">
        <f>'Student Enrollment Data'!BF40</f>
        <v>72</v>
      </c>
      <c r="I39">
        <f>SUM('Student Enrollment Data'!R40:X40,'Student Enrollment Data'!AQ40:AW40)</f>
        <v>0</v>
      </c>
      <c r="J39">
        <f>'Student Enrollment Data'!BS40</f>
        <v>0</v>
      </c>
      <c r="K39">
        <f t="shared" si="3"/>
        <v>15.700000000000001</v>
      </c>
      <c r="M39" s="30">
        <f t="shared" si="8"/>
        <v>157</v>
      </c>
      <c r="N39" s="30">
        <f>E39*'Front page'!$B$20</f>
        <v>3.7</v>
      </c>
      <c r="O39" s="30">
        <f>F39*'Front page'!$B$21</f>
        <v>5.9</v>
      </c>
      <c r="P39">
        <f>G39*'Front page'!$B$18</f>
        <v>21.45</v>
      </c>
      <c r="Q39" s="30">
        <f>IF(settings!$B$4=0,Calculations!H39,Calculations!I39) *'Front page'!$B$11</f>
        <v>7.2</v>
      </c>
      <c r="R39" s="31">
        <f>ROUND(I39*'Front page'!$B$9,2)</f>
        <v>0</v>
      </c>
      <c r="S39" s="30">
        <f>J39*'Front page'!$B$14</f>
        <v>0</v>
      </c>
      <c r="T39" s="103">
        <f>'Front page'!$B$16*Calculations!K39</f>
        <v>0.314</v>
      </c>
      <c r="U39" s="103">
        <f>IF(settings!$B$13=0,(Calculations!M39*'District Wealth Adjustment'!M38)-Calculations!M39,0)</f>
        <v>0</v>
      </c>
      <c r="V39" s="185">
        <f>VLOOKUP(B39,'Remote School Building Weight'!$M$2:$P$174,3,FALSE)</f>
        <v>0</v>
      </c>
      <c r="W39" s="25">
        <f>'Small Dist Weight'!V38-Calculations!D39</f>
        <v>158.1292789968652</v>
      </c>
      <c r="X39" s="25">
        <f>IF(settings!$P$9=0,'Large District Weight'!H38*'Large District Weight'!G38,0)</f>
        <v>0</v>
      </c>
      <c r="Y39" s="25">
        <f t="shared" si="4"/>
        <v>353.69327899686516</v>
      </c>
      <c r="Z39" s="25">
        <f>IF(settings!$F$13=0,'Teacher Exp'!L39,0)</f>
        <v>0.16591692002486072</v>
      </c>
      <c r="AA39" s="25">
        <f t="shared" si="5"/>
        <v>353.85919591689003</v>
      </c>
      <c r="AC39" s="26">
        <f>'Student Enrollment Data'!BU40</f>
        <v>0</v>
      </c>
      <c r="AD39" s="26">
        <f t="shared" si="6"/>
        <v>15.700000000000001</v>
      </c>
      <c r="AE39" s="26">
        <f>AD39*'Front page'!$B$16</f>
        <v>0.314</v>
      </c>
      <c r="AG39" s="6">
        <f>M39*'Front page'!$E$3</f>
        <v>665176.26079415239</v>
      </c>
      <c r="AH39" s="6">
        <f>N39*'Front page'!$E$3</f>
        <v>15676.12843909786</v>
      </c>
      <c r="AI39" s="6">
        <f>O39*'Front page'!$E$3</f>
        <v>24997.069673156046</v>
      </c>
      <c r="AJ39" s="6">
        <f>P39*'Front page'!$E$3</f>
        <v>90879.177032067309</v>
      </c>
      <c r="AK39" s="6">
        <f>Q39*'Front page'!$E$3</f>
        <v>30504.898584190429</v>
      </c>
      <c r="AL39" s="6">
        <f>S39*'Front page'!$E$3</f>
        <v>0</v>
      </c>
      <c r="AM39" s="5">
        <f>Z39*'Front page'!$E$3</f>
        <v>702.95539149439026</v>
      </c>
      <c r="AN39" s="6">
        <f>T39*'Front page'!$E$3</f>
        <v>1330.3525215883049</v>
      </c>
      <c r="AO39" s="6">
        <f>U39*'Front page'!$E$3</f>
        <v>0</v>
      </c>
      <c r="AP39" s="6">
        <f>W39*'Front page'!$E$3</f>
        <v>669960.7804153508</v>
      </c>
      <c r="AQ39" s="6">
        <f>V39*'Front page'!$E$3</f>
        <v>0</v>
      </c>
      <c r="AR39" s="6">
        <f>X39*'Front page'!$E$3</f>
        <v>0</v>
      </c>
      <c r="AS39" s="6">
        <f t="shared" si="7"/>
        <v>1499227.6228510975</v>
      </c>
      <c r="AT39" s="7">
        <f>IF(AS39&gt;'Funding Comparison'!D39*(1+'Front page'!$H$10),'Funding Comparison'!D39*(1+'Front page'!$H$10),AS39)</f>
        <v>1499227.6228510975</v>
      </c>
    </row>
    <row r="40" spans="1:46">
      <c r="A40" t="str">
        <f t="shared" si="0"/>
        <v>150</v>
      </c>
      <c r="B40">
        <f t="shared" si="2"/>
        <v>150</v>
      </c>
      <c r="C40" s="15" t="s">
        <v>49</v>
      </c>
      <c r="D40">
        <f>IF(settings!$G$4=0,'Student Enrollment Data'!AX41,'Student Enrollment Data'!CK41)</f>
        <v>851</v>
      </c>
      <c r="E40">
        <f>IF(settings!$G$4=0,'Student Enrollment Data'!AY41,'Student Enrollment Data'!CL41)</f>
        <v>256</v>
      </c>
      <c r="F40">
        <f>IF(settings!$G$4=0,'Student Enrollment Data'!AZ41,'Student Enrollment Data'!CM41)</f>
        <v>259</v>
      </c>
      <c r="G40" s="25">
        <f>'Student Enrollment Data'!BK41</f>
        <v>97</v>
      </c>
      <c r="H40">
        <f>'Student Enrollment Data'!BF41</f>
        <v>252</v>
      </c>
      <c r="I40">
        <f>SUM('Student Enrollment Data'!R41:X41,'Student Enrollment Data'!AQ41:AW41)</f>
        <v>0</v>
      </c>
      <c r="J40">
        <f>'Student Enrollment Data'!BS41</f>
        <v>68.210030156247328</v>
      </c>
      <c r="K40">
        <f t="shared" si="3"/>
        <v>85.100000000000009</v>
      </c>
      <c r="M40" s="30">
        <f t="shared" si="8"/>
        <v>851</v>
      </c>
      <c r="N40" s="30">
        <f>E40*'Front page'!$B$20</f>
        <v>25.6</v>
      </c>
      <c r="O40" s="30">
        <f>F40*'Front page'!$B$21</f>
        <v>25.900000000000002</v>
      </c>
      <c r="P40">
        <f>G40*'Front page'!$B$18</f>
        <v>63.050000000000004</v>
      </c>
      <c r="Q40" s="30">
        <f>IF(settings!$B$4=0,Calculations!H40,Calculations!I40) *'Front page'!$B$11</f>
        <v>25.200000000000003</v>
      </c>
      <c r="R40" s="31">
        <f>ROUND(I40*'Front page'!$B$9,2)</f>
        <v>0</v>
      </c>
      <c r="S40" s="30">
        <f>J40*'Front page'!$B$14</f>
        <v>6.8210030156247328</v>
      </c>
      <c r="T40" s="103">
        <f>'Front page'!$B$16*Calculations!K40</f>
        <v>1.7020000000000002</v>
      </c>
      <c r="U40" s="103">
        <f>IF(settings!$B$13=0,(Calculations!M40*'District Wealth Adjustment'!M39)-Calculations!M40,0)</f>
        <v>0</v>
      </c>
      <c r="V40" s="185">
        <f>VLOOKUP(B40,'Remote School Building Weight'!$M$2:$P$174,3,FALSE)</f>
        <v>0</v>
      </c>
      <c r="W40" s="25">
        <f>'Small Dist Weight'!V39-Calculations!D40</f>
        <v>134.50681034482761</v>
      </c>
      <c r="X40" s="25">
        <f>IF(settings!$P$9=0,'Large District Weight'!H39*'Large District Weight'!G39,0)</f>
        <v>0</v>
      </c>
      <c r="Y40" s="25">
        <f t="shared" si="4"/>
        <v>1133.7798133604524</v>
      </c>
      <c r="Z40" s="25">
        <f>IF(settings!$F$13=0,'Teacher Exp'!L40,0)</f>
        <v>0</v>
      </c>
      <c r="AA40" s="25">
        <f t="shared" si="5"/>
        <v>1133.7798133604524</v>
      </c>
      <c r="AC40" s="26">
        <f>'Student Enrollment Data'!BU41</f>
        <v>28</v>
      </c>
      <c r="AD40" s="26">
        <f t="shared" si="6"/>
        <v>85.100000000000009</v>
      </c>
      <c r="AE40" s="26">
        <f>AD40*'Front page'!$B$16</f>
        <v>1.7020000000000002</v>
      </c>
      <c r="AG40" s="6">
        <f>M40*'Front page'!$E$3</f>
        <v>3605509.5409925072</v>
      </c>
      <c r="AH40" s="6">
        <f>N40*'Front page'!$E$3</f>
        <v>108461.86163267709</v>
      </c>
      <c r="AI40" s="6">
        <f>O40*'Front page'!$E$3</f>
        <v>109732.89907368502</v>
      </c>
      <c r="AJ40" s="6">
        <f>P40*'Front page'!$E$3</f>
        <v>267129.70218516758</v>
      </c>
      <c r="AK40" s="6">
        <f>Q40*'Front page'!$E$3</f>
        <v>106767.14504466651</v>
      </c>
      <c r="AL40" s="6">
        <f>S40*'Front page'!$E$3</f>
        <v>28899.167393623549</v>
      </c>
      <c r="AM40" s="5">
        <f>Z40*'Front page'!$E$3</f>
        <v>0</v>
      </c>
      <c r="AN40" s="6">
        <f>T40*'Front page'!$E$3</f>
        <v>7211.0190819850159</v>
      </c>
      <c r="AO40" s="6">
        <f>U40*'Front page'!$E$3</f>
        <v>0</v>
      </c>
      <c r="AP40" s="6">
        <f>W40*'Front page'!$E$3</f>
        <v>569877.30672943091</v>
      </c>
      <c r="AQ40" s="6">
        <f>V40*'Front page'!$E$3</f>
        <v>0</v>
      </c>
      <c r="AR40" s="6">
        <f>X40*'Front page'!$E$3</f>
        <v>0</v>
      </c>
      <c r="AS40" s="6">
        <f t="shared" si="7"/>
        <v>4803588.6421337435</v>
      </c>
      <c r="AT40" s="7">
        <f>IF(AS40&gt;'Funding Comparison'!D40*(1+'Front page'!$H$10),'Funding Comparison'!D40*(1+'Front page'!$H$10),AS40)</f>
        <v>4803588.6421337435</v>
      </c>
    </row>
    <row r="41" spans="1:46">
      <c r="A41" t="str">
        <f t="shared" si="0"/>
        <v>151</v>
      </c>
      <c r="B41">
        <f t="shared" si="2"/>
        <v>151</v>
      </c>
      <c r="C41" s="15" t="s">
        <v>50</v>
      </c>
      <c r="D41">
        <f>IF(settings!$G$4=0,'Student Enrollment Data'!AX42,'Student Enrollment Data'!CK42)</f>
        <v>5216</v>
      </c>
      <c r="E41">
        <f>IF(settings!$G$4=0,'Student Enrollment Data'!AY42,'Student Enrollment Data'!CL42)</f>
        <v>1461</v>
      </c>
      <c r="F41">
        <f>IF(settings!$G$4=0,'Student Enrollment Data'!AZ42,'Student Enrollment Data'!CM42)</f>
        <v>1553</v>
      </c>
      <c r="G41" s="25">
        <f>'Student Enrollment Data'!BK42</f>
        <v>581</v>
      </c>
      <c r="H41">
        <f>'Student Enrollment Data'!BF42</f>
        <v>2582</v>
      </c>
      <c r="I41">
        <f>SUM('Student Enrollment Data'!R42:X42,'Student Enrollment Data'!AQ42:AW42)</f>
        <v>245.50253732686818</v>
      </c>
      <c r="J41">
        <f>'Student Enrollment Data'!BS42</f>
        <v>860</v>
      </c>
      <c r="K41">
        <f t="shared" si="3"/>
        <v>521.6</v>
      </c>
      <c r="M41" s="30">
        <f t="shared" si="8"/>
        <v>5216</v>
      </c>
      <c r="N41" s="30">
        <f>E41*'Front page'!$B$20</f>
        <v>146.1</v>
      </c>
      <c r="O41" s="30">
        <f>F41*'Front page'!$B$21</f>
        <v>155.30000000000001</v>
      </c>
      <c r="P41">
        <f>G41*'Front page'!$B$18</f>
        <v>377.65000000000003</v>
      </c>
      <c r="Q41" s="30">
        <f>IF(settings!$B$4=0,Calculations!H41,Calculations!I41) *'Front page'!$B$11</f>
        <v>258.2</v>
      </c>
      <c r="R41" s="31">
        <f>ROUND(I41*'Front page'!$B$9,2)</f>
        <v>0</v>
      </c>
      <c r="S41" s="30">
        <f>J41*'Front page'!$B$14</f>
        <v>86</v>
      </c>
      <c r="T41" s="103">
        <f>'Front page'!$B$16*Calculations!K41</f>
        <v>10.432</v>
      </c>
      <c r="U41" s="103">
        <f>IF(settings!$B$13=0,(Calculations!M41*'District Wealth Adjustment'!M40)-Calculations!M41,0)</f>
        <v>521.60000000000036</v>
      </c>
      <c r="V41" s="185">
        <f>VLOOKUP(B41,'Remote School Building Weight'!$M$2:$P$174,3,FALSE)</f>
        <v>218.85431001340464</v>
      </c>
      <c r="W41" s="25">
        <f>'Small Dist Weight'!V40-Calculations!D41</f>
        <v>0</v>
      </c>
      <c r="X41" s="25">
        <f>IF(settings!$P$9=0,'Large District Weight'!H40*'Large District Weight'!G40,0)</f>
        <v>0</v>
      </c>
      <c r="Y41" s="25">
        <f t="shared" si="4"/>
        <v>6990.1363100134049</v>
      </c>
      <c r="Z41" s="25">
        <f>IF(settings!$F$13=0,'Teacher Exp'!L41,0)</f>
        <v>0</v>
      </c>
      <c r="AA41" s="25">
        <f t="shared" si="5"/>
        <v>6990.1363100134049</v>
      </c>
      <c r="AC41" s="26">
        <f>'Student Enrollment Data'!BU42</f>
        <v>55</v>
      </c>
      <c r="AD41" s="26">
        <f t="shared" si="6"/>
        <v>521.6</v>
      </c>
      <c r="AE41" s="26">
        <f>AD41*'Front page'!$B$16</f>
        <v>10.432</v>
      </c>
      <c r="AG41" s="6">
        <f>M41*'Front page'!$E$3</f>
        <v>22099104.307657953</v>
      </c>
      <c r="AH41" s="6">
        <f>N41*'Front page'!$E$3</f>
        <v>618995.23377086408</v>
      </c>
      <c r="AI41" s="6">
        <f>O41*'Front page'!$E$3</f>
        <v>657973.71529510745</v>
      </c>
      <c r="AJ41" s="6">
        <f>P41*'Front page'!$E$3</f>
        <v>1600024.2986554883</v>
      </c>
      <c r="AK41" s="6">
        <f>Q41*'Front page'!$E$3</f>
        <v>1093939.557560829</v>
      </c>
      <c r="AL41" s="6">
        <f>S41*'Front page'!$E$3</f>
        <v>364364.06642227457</v>
      </c>
      <c r="AM41" s="5">
        <f>Z41*'Front page'!$E$3</f>
        <v>0</v>
      </c>
      <c r="AN41" s="6">
        <f>T41*'Front page'!$E$3</f>
        <v>44198.208615315911</v>
      </c>
      <c r="AO41" s="6">
        <f>U41*'Front page'!$E$3</f>
        <v>2209910.4307657969</v>
      </c>
      <c r="AP41" s="6">
        <f>W41*'Front page'!$E$3</f>
        <v>0</v>
      </c>
      <c r="AQ41" s="6">
        <f>V41*'Front page'!$E$3</f>
        <v>927240.07384331664</v>
      </c>
      <c r="AR41" s="6">
        <f>X41*'Front page'!$E$3</f>
        <v>0</v>
      </c>
      <c r="AS41" s="6">
        <f t="shared" si="7"/>
        <v>29615749.892586943</v>
      </c>
      <c r="AT41" s="7">
        <f>IF(AS41&gt;'Funding Comparison'!D41*(1+'Front page'!$H$10),'Funding Comparison'!D41*(1+'Front page'!$H$10),AS41)</f>
        <v>29615749.892586943</v>
      </c>
    </row>
    <row r="42" spans="1:46">
      <c r="A42" t="str">
        <f t="shared" si="0"/>
        <v>161</v>
      </c>
      <c r="B42">
        <f t="shared" si="2"/>
        <v>161</v>
      </c>
      <c r="C42" s="15" t="s">
        <v>51</v>
      </c>
      <c r="D42">
        <f>IF(settings!$G$4=0,'Student Enrollment Data'!AX43,'Student Enrollment Data'!CK43)</f>
        <v>116</v>
      </c>
      <c r="E42">
        <f>IF(settings!$G$4=0,'Student Enrollment Data'!AY43,'Student Enrollment Data'!CL43)</f>
        <v>27</v>
      </c>
      <c r="F42">
        <f>IF(settings!$G$4=0,'Student Enrollment Data'!AZ43,'Student Enrollment Data'!CM43)</f>
        <v>36</v>
      </c>
      <c r="G42" s="25">
        <f>'Student Enrollment Data'!BK43</f>
        <v>13</v>
      </c>
      <c r="H42">
        <f>'Student Enrollment Data'!BF43</f>
        <v>90</v>
      </c>
      <c r="I42">
        <f>SUM('Student Enrollment Data'!R43:X43,'Student Enrollment Data'!AQ43:AW43)</f>
        <v>0</v>
      </c>
      <c r="J42">
        <f>'Student Enrollment Data'!BS43</f>
        <v>28</v>
      </c>
      <c r="K42">
        <f t="shared" si="3"/>
        <v>11.600000000000001</v>
      </c>
      <c r="M42" s="30">
        <f t="shared" si="8"/>
        <v>116</v>
      </c>
      <c r="N42" s="30">
        <f>E42*'Front page'!$B$20</f>
        <v>2.7</v>
      </c>
      <c r="O42" s="30">
        <f>F42*'Front page'!$B$21</f>
        <v>3.6</v>
      </c>
      <c r="P42">
        <f>G42*'Front page'!$B$18</f>
        <v>8.4500000000000011</v>
      </c>
      <c r="Q42" s="30">
        <f>IF(settings!$B$4=0,Calculations!H42,Calculations!I42) *'Front page'!$B$11</f>
        <v>9</v>
      </c>
      <c r="R42" s="31">
        <f>ROUND(I42*'Front page'!$B$9,2)</f>
        <v>0</v>
      </c>
      <c r="S42" s="30">
        <f>J42*'Front page'!$B$14</f>
        <v>2.8000000000000003</v>
      </c>
      <c r="T42" s="103">
        <f>'Front page'!$B$16*Calculations!K42</f>
        <v>0.23200000000000004</v>
      </c>
      <c r="U42" s="103">
        <f>IF(settings!$B$13=0,(Calculations!M42*'District Wealth Adjustment'!M41)-Calculations!M42,0)</f>
        <v>0</v>
      </c>
      <c r="V42" s="185">
        <f>VLOOKUP(B42,'Remote School Building Weight'!$M$2:$P$174,3,FALSE)</f>
        <v>0</v>
      </c>
      <c r="W42" s="25">
        <f>'Small Dist Weight'!V41-Calculations!D42</f>
        <v>167.67927899686521</v>
      </c>
      <c r="X42" s="25">
        <f>IF(settings!$P$9=0,'Large District Weight'!H41*'Large District Weight'!G41,0)</f>
        <v>0</v>
      </c>
      <c r="Y42" s="25">
        <f t="shared" si="4"/>
        <v>310.46127899686519</v>
      </c>
      <c r="Z42" s="25">
        <f>IF(settings!$F$13=0,'Teacher Exp'!L42,0)</f>
        <v>0.27594562308347753</v>
      </c>
      <c r="AA42" s="25">
        <f t="shared" si="5"/>
        <v>310.73722461994868</v>
      </c>
      <c r="AC42" s="26">
        <f>'Student Enrollment Data'!BU43</f>
        <v>0</v>
      </c>
      <c r="AD42" s="26">
        <f t="shared" si="6"/>
        <v>11.600000000000001</v>
      </c>
      <c r="AE42" s="26">
        <f>AD42*'Front page'!$B$16</f>
        <v>0.23200000000000004</v>
      </c>
      <c r="AG42" s="6">
        <f>M42*'Front page'!$E$3</f>
        <v>491467.81052306801</v>
      </c>
      <c r="AH42" s="6">
        <f>N42*'Front page'!$E$3</f>
        <v>11439.336969071412</v>
      </c>
      <c r="AI42" s="6">
        <f>O42*'Front page'!$E$3</f>
        <v>15252.449292095214</v>
      </c>
      <c r="AJ42" s="6">
        <f>P42*'Front page'!$E$3</f>
        <v>35800.887921723493</v>
      </c>
      <c r="AK42" s="6">
        <f>Q42*'Front page'!$E$3</f>
        <v>38131.123230238038</v>
      </c>
      <c r="AL42" s="6">
        <f>S42*'Front page'!$E$3</f>
        <v>11863.016116074055</v>
      </c>
      <c r="AM42" s="5">
        <f>Z42*'Front page'!$E$3</f>
        <v>1169.124062071211</v>
      </c>
      <c r="AN42" s="6">
        <f>T42*'Front page'!$E$3</f>
        <v>982.93562104613613</v>
      </c>
      <c r="AO42" s="6">
        <f>U42*'Front page'!$E$3</f>
        <v>0</v>
      </c>
      <c r="AP42" s="6">
        <f>W42*'Front page'!$E$3</f>
        <v>710422.13895410346</v>
      </c>
      <c r="AQ42" s="6">
        <f>V42*'Front page'!$E$3</f>
        <v>0</v>
      </c>
      <c r="AR42" s="6">
        <f>X42*'Front page'!$E$3</f>
        <v>0</v>
      </c>
      <c r="AS42" s="6">
        <f t="shared" si="7"/>
        <v>1316528.8226894911</v>
      </c>
      <c r="AT42" s="7">
        <f>IF(AS42&gt;'Funding Comparison'!D42*(1+'Front page'!$H$10),'Funding Comparison'!D42*(1+'Front page'!$H$10),AS42)</f>
        <v>1316528.8226894911</v>
      </c>
    </row>
    <row r="43" spans="1:46">
      <c r="A43" t="str">
        <f t="shared" si="0"/>
        <v>171</v>
      </c>
      <c r="B43">
        <f t="shared" si="2"/>
        <v>171</v>
      </c>
      <c r="C43" s="15" t="s">
        <v>52</v>
      </c>
      <c r="D43">
        <f>IF(settings!$G$4=0,'Student Enrollment Data'!AX44,'Student Enrollment Data'!CK44)</f>
        <v>998</v>
      </c>
      <c r="E43">
        <f>IF(settings!$G$4=0,'Student Enrollment Data'!AY44,'Student Enrollment Data'!CL44)</f>
        <v>256</v>
      </c>
      <c r="F43">
        <f>IF(settings!$G$4=0,'Student Enrollment Data'!AZ44,'Student Enrollment Data'!CM44)</f>
        <v>313</v>
      </c>
      <c r="G43" s="25">
        <f>'Student Enrollment Data'!BK44</f>
        <v>143</v>
      </c>
      <c r="H43">
        <f>'Student Enrollment Data'!BF44</f>
        <v>621</v>
      </c>
      <c r="I43">
        <f>SUM('Student Enrollment Data'!R44:X44,'Student Enrollment Data'!AQ44:AW44)</f>
        <v>119.11909677103124</v>
      </c>
      <c r="J43">
        <f>'Student Enrollment Data'!BS44</f>
        <v>79.659997242374786</v>
      </c>
      <c r="K43">
        <f t="shared" si="3"/>
        <v>99.800000000000011</v>
      </c>
      <c r="M43" s="30">
        <f t="shared" si="8"/>
        <v>998</v>
      </c>
      <c r="N43" s="30">
        <f>E43*'Front page'!$B$20</f>
        <v>25.6</v>
      </c>
      <c r="O43" s="30">
        <f>F43*'Front page'!$B$21</f>
        <v>31.3</v>
      </c>
      <c r="P43">
        <f>G43*'Front page'!$B$18</f>
        <v>92.95</v>
      </c>
      <c r="Q43" s="30">
        <f>IF(settings!$B$4=0,Calculations!H43,Calculations!I43) *'Front page'!$B$11</f>
        <v>62.1</v>
      </c>
      <c r="R43" s="31">
        <f>ROUND(I43*'Front page'!$B$9,2)</f>
        <v>0</v>
      </c>
      <c r="S43" s="30">
        <f>J43*'Front page'!$B$14</f>
        <v>7.9659997242374789</v>
      </c>
      <c r="T43" s="103">
        <f>'Front page'!$B$16*Calculations!K43</f>
        <v>1.9960000000000002</v>
      </c>
      <c r="U43" s="103">
        <f>IF(settings!$B$13=0,(Calculations!M43*'District Wealth Adjustment'!M42)-Calculations!M43,0)</f>
        <v>0</v>
      </c>
      <c r="V43" s="185">
        <f>VLOOKUP(B43,'Remote School Building Weight'!$M$2:$P$174,3,FALSE)</f>
        <v>153.19800783058582</v>
      </c>
      <c r="W43" s="25">
        <f>'Small Dist Weight'!V42-Calculations!D43</f>
        <v>112.73862068965514</v>
      </c>
      <c r="X43" s="25">
        <f>IF(settings!$P$9=0,'Large District Weight'!H42*'Large District Weight'!G42,0)</f>
        <v>0</v>
      </c>
      <c r="Y43" s="25">
        <f t="shared" si="4"/>
        <v>1485.8486282444785</v>
      </c>
      <c r="Z43" s="25">
        <f>IF(settings!$F$13=0,'Teacher Exp'!L43,0)</f>
        <v>32.688354072917775</v>
      </c>
      <c r="AA43" s="25">
        <f t="shared" si="5"/>
        <v>1518.5369823173962</v>
      </c>
      <c r="AC43" s="26">
        <f>'Student Enrollment Data'!BU44</f>
        <v>3</v>
      </c>
      <c r="AD43" s="26">
        <f t="shared" si="6"/>
        <v>99.800000000000011</v>
      </c>
      <c r="AE43" s="26">
        <f>AD43*'Front page'!$B$16</f>
        <v>1.9960000000000002</v>
      </c>
      <c r="AG43" s="6">
        <f>M43*'Front page'!$E$3</f>
        <v>4228317.8870863952</v>
      </c>
      <c r="AH43" s="6">
        <f>N43*'Front page'!$E$3</f>
        <v>108461.86163267709</v>
      </c>
      <c r="AI43" s="6">
        <f>O43*'Front page'!$E$3</f>
        <v>132611.57301182783</v>
      </c>
      <c r="AJ43" s="6">
        <f>P43*'Front page'!$E$3</f>
        <v>393809.76713895838</v>
      </c>
      <c r="AK43" s="6">
        <f>Q43*'Front page'!$E$3</f>
        <v>263104.75028864242</v>
      </c>
      <c r="AL43" s="6">
        <f>S43*'Front page'!$E$3</f>
        <v>33750.279681882392</v>
      </c>
      <c r="AM43" s="5">
        <f>Z43*'Front page'!$E$3</f>
        <v>138493.73970534233</v>
      </c>
      <c r="AN43" s="6">
        <f>T43*'Front page'!$E$3</f>
        <v>8456.6357741727916</v>
      </c>
      <c r="AO43" s="6">
        <f>U43*'Front page'!$E$3</f>
        <v>0</v>
      </c>
      <c r="AP43" s="6">
        <f>W43*'Front page'!$E$3</f>
        <v>477650.02648047812</v>
      </c>
      <c r="AQ43" s="6">
        <f>V43*'Front page'!$E$3</f>
        <v>649068.01280167105</v>
      </c>
      <c r="AR43" s="6">
        <f>X43*'Front page'!$E$3</f>
        <v>0</v>
      </c>
      <c r="AS43" s="6">
        <f t="shared" si="7"/>
        <v>6433724.5336020468</v>
      </c>
      <c r="AT43" s="7">
        <f>IF(AS43&gt;'Funding Comparison'!D43*(1+'Front page'!$H$10),'Funding Comparison'!D43*(1+'Front page'!$H$10),AS43)</f>
        <v>6433724.5336020468</v>
      </c>
    </row>
    <row r="44" spans="1:46">
      <c r="A44" t="str">
        <f t="shared" si="0"/>
        <v>181</v>
      </c>
      <c r="B44">
        <f t="shared" si="2"/>
        <v>181</v>
      </c>
      <c r="C44" s="15" t="s">
        <v>53</v>
      </c>
      <c r="D44">
        <f>IF(settings!$G$4=0,'Student Enrollment Data'!AX45,'Student Enrollment Data'!CK45)</f>
        <v>337.5</v>
      </c>
      <c r="E44">
        <f>IF(settings!$G$4=0,'Student Enrollment Data'!AY45,'Student Enrollment Data'!CL45)</f>
        <v>78.5</v>
      </c>
      <c r="F44">
        <f>IF(settings!$G$4=0,'Student Enrollment Data'!AZ45,'Student Enrollment Data'!CM45)</f>
        <v>114</v>
      </c>
      <c r="G44" s="25">
        <f>'Student Enrollment Data'!BK45</f>
        <v>39</v>
      </c>
      <c r="H44">
        <f>'Student Enrollment Data'!BF45</f>
        <v>136</v>
      </c>
      <c r="I44">
        <f>SUM('Student Enrollment Data'!R45:X45,'Student Enrollment Data'!AQ45:AW45)</f>
        <v>0</v>
      </c>
      <c r="J44">
        <f>'Student Enrollment Data'!BS45</f>
        <v>28.178107712001509</v>
      </c>
      <c r="K44">
        <f t="shared" si="3"/>
        <v>33.75</v>
      </c>
      <c r="M44" s="30">
        <f t="shared" si="8"/>
        <v>337.5</v>
      </c>
      <c r="N44" s="30">
        <f>E44*'Front page'!$B$20</f>
        <v>7.8500000000000005</v>
      </c>
      <c r="O44" s="30">
        <f>F44*'Front page'!$B$21</f>
        <v>11.4</v>
      </c>
      <c r="P44">
        <f>G44*'Front page'!$B$18</f>
        <v>25.35</v>
      </c>
      <c r="Q44" s="30">
        <f>IF(settings!$B$4=0,Calculations!H44,Calculations!I44) *'Front page'!$B$11</f>
        <v>13.600000000000001</v>
      </c>
      <c r="R44" s="31">
        <f>ROUND(I44*'Front page'!$B$9,2)</f>
        <v>0</v>
      </c>
      <c r="S44" s="30">
        <f>J44*'Front page'!$B$14</f>
        <v>2.817810771200151</v>
      </c>
      <c r="T44" s="103">
        <f>'Front page'!$B$16*Calculations!K44</f>
        <v>0.67500000000000004</v>
      </c>
      <c r="U44" s="103">
        <f>IF(settings!$B$13=0,(Calculations!M44*'District Wealth Adjustment'!M43)-Calculations!M44,0)</f>
        <v>0</v>
      </c>
      <c r="V44" s="185">
        <f>VLOOKUP(B44,'Remote School Building Weight'!$M$2:$P$174,3,FALSE)</f>
        <v>11.260646766055558</v>
      </c>
      <c r="W44" s="25">
        <f>'Small Dist Weight'!V43-Calculations!D44</f>
        <v>172.90336010971782</v>
      </c>
      <c r="X44" s="25">
        <f>IF(settings!$P$9=0,'Large District Weight'!H43*'Large District Weight'!G43,0)</f>
        <v>0</v>
      </c>
      <c r="Y44" s="25">
        <f t="shared" si="4"/>
        <v>583.35681764697358</v>
      </c>
      <c r="Z44" s="25">
        <f>IF(settings!$F$13=0,'Teacher Exp'!L44,0)</f>
        <v>0</v>
      </c>
      <c r="AA44" s="25">
        <f t="shared" si="5"/>
        <v>583.35681764697358</v>
      </c>
      <c r="AC44" s="26">
        <f>'Student Enrollment Data'!BU45</f>
        <v>28</v>
      </c>
      <c r="AD44" s="26">
        <f t="shared" si="6"/>
        <v>33.75</v>
      </c>
      <c r="AE44" s="26">
        <f>AD44*'Front page'!$B$16</f>
        <v>0.67500000000000004</v>
      </c>
      <c r="AG44" s="6">
        <f>M44*'Front page'!$E$3</f>
        <v>1429917.1211339263</v>
      </c>
      <c r="AH44" s="6">
        <f>N44*'Front page'!$E$3</f>
        <v>33258.813039707624</v>
      </c>
      <c r="AI44" s="6">
        <f>O44*'Front page'!$E$3</f>
        <v>48299.422758301509</v>
      </c>
      <c r="AJ44" s="6">
        <f>P44*'Front page'!$E$3</f>
        <v>107402.66376517047</v>
      </c>
      <c r="AK44" s="6">
        <f>Q44*'Front page'!$E$3</f>
        <v>57620.3639923597</v>
      </c>
      <c r="AL44" s="6">
        <f>S44*'Front page'!$E$3</f>
        <v>11938.476639569448</v>
      </c>
      <c r="AM44" s="5">
        <f>Z44*'Front page'!$E$3</f>
        <v>0</v>
      </c>
      <c r="AN44" s="6">
        <f>T44*'Front page'!$E$3</f>
        <v>2859.8342422678529</v>
      </c>
      <c r="AO44" s="6">
        <f>U44*'Front page'!$E$3</f>
        <v>0</v>
      </c>
      <c r="AP44" s="6">
        <f>W44*'Front page'!$E$3</f>
        <v>732555.48125176376</v>
      </c>
      <c r="AQ44" s="6">
        <f>V44*'Front page'!$E$3</f>
        <v>47709.012165405096</v>
      </c>
      <c r="AR44" s="6">
        <f>X44*'Front page'!$E$3</f>
        <v>0</v>
      </c>
      <c r="AS44" s="6">
        <f t="shared" si="7"/>
        <v>2471561.1889884719</v>
      </c>
      <c r="AT44" s="7">
        <f>IF(AS44&gt;'Funding Comparison'!D44*(1+'Front page'!$H$10),'Funding Comparison'!D44*(1+'Front page'!$H$10),AS44)</f>
        <v>2471561.1889884719</v>
      </c>
    </row>
    <row r="45" spans="1:46">
      <c r="A45" t="str">
        <f t="shared" si="0"/>
        <v>182</v>
      </c>
      <c r="B45">
        <f t="shared" si="2"/>
        <v>182</v>
      </c>
      <c r="C45" s="15" t="s">
        <v>54</v>
      </c>
      <c r="D45">
        <f>IF(settings!$G$4=0,'Student Enrollment Data'!AX46,'Student Enrollment Data'!CK46)</f>
        <v>211</v>
      </c>
      <c r="E45">
        <f>IF(settings!$G$4=0,'Student Enrollment Data'!AY46,'Student Enrollment Data'!CL46)</f>
        <v>56</v>
      </c>
      <c r="F45">
        <f>IF(settings!$G$4=0,'Student Enrollment Data'!AZ46,'Student Enrollment Data'!CM46)</f>
        <v>61</v>
      </c>
      <c r="G45" s="25">
        <f>'Student Enrollment Data'!BK46</f>
        <v>15</v>
      </c>
      <c r="H45">
        <f>'Student Enrollment Data'!BF46</f>
        <v>70</v>
      </c>
      <c r="I45">
        <f>SUM('Student Enrollment Data'!R46:X46,'Student Enrollment Data'!AQ46:AW46)</f>
        <v>0</v>
      </c>
      <c r="J45">
        <f>'Student Enrollment Data'!BS46</f>
        <v>17.106309586259602</v>
      </c>
      <c r="K45">
        <f t="shared" si="3"/>
        <v>21.1</v>
      </c>
      <c r="M45" s="30">
        <f t="shared" si="8"/>
        <v>211</v>
      </c>
      <c r="N45" s="30">
        <f>E45*'Front page'!$B$20</f>
        <v>5.6000000000000005</v>
      </c>
      <c r="O45" s="30">
        <f>F45*'Front page'!$B$21</f>
        <v>6.1000000000000005</v>
      </c>
      <c r="P45">
        <f>G45*'Front page'!$B$18</f>
        <v>9.75</v>
      </c>
      <c r="Q45" s="30">
        <f>IF(settings!$B$4=0,Calculations!H45,Calculations!I45) *'Front page'!$B$11</f>
        <v>7</v>
      </c>
      <c r="R45" s="31">
        <f>ROUND(I45*'Front page'!$B$9,2)</f>
        <v>0</v>
      </c>
      <c r="S45" s="30">
        <f>J45*'Front page'!$B$14</f>
        <v>1.7106309586259603</v>
      </c>
      <c r="T45" s="103">
        <f>'Front page'!$B$16*Calculations!K45</f>
        <v>0.42200000000000004</v>
      </c>
      <c r="U45" s="103">
        <f>IF(settings!$B$13=0,(Calculations!M45*'District Wealth Adjustment'!M44)-Calculations!M45,0)</f>
        <v>0</v>
      </c>
      <c r="V45" s="185">
        <f>VLOOKUP(B45,'Remote School Building Weight'!$M$2:$P$174,3,FALSE)</f>
        <v>0</v>
      </c>
      <c r="W45" s="25">
        <f>'Small Dist Weight'!V44-Calculations!D45</f>
        <v>148.52723354231978</v>
      </c>
      <c r="X45" s="25">
        <f>IF(settings!$P$9=0,'Large District Weight'!H44*'Large District Weight'!G44,0)</f>
        <v>0</v>
      </c>
      <c r="Y45" s="25">
        <f t="shared" si="4"/>
        <v>390.10986450094572</v>
      </c>
      <c r="Z45" s="25">
        <f>IF(settings!$F$13=0,'Teacher Exp'!L45,0)</f>
        <v>6.5536268788592764</v>
      </c>
      <c r="AA45" s="25">
        <f t="shared" si="5"/>
        <v>396.66349137980501</v>
      </c>
      <c r="AC45" s="26">
        <f>'Student Enrollment Data'!BU46</f>
        <v>0</v>
      </c>
      <c r="AD45" s="26">
        <f t="shared" si="6"/>
        <v>21.1</v>
      </c>
      <c r="AE45" s="26">
        <f>AD45*'Front page'!$B$16</f>
        <v>0.42200000000000004</v>
      </c>
      <c r="AG45" s="6">
        <f>M45*'Front page'!$E$3</f>
        <v>893963.00017558062</v>
      </c>
      <c r="AH45" s="6">
        <f>N45*'Front page'!$E$3</f>
        <v>23726.032232148111</v>
      </c>
      <c r="AI45" s="6">
        <f>O45*'Front page'!$E$3</f>
        <v>25844.427967161337</v>
      </c>
      <c r="AJ45" s="6">
        <f>P45*'Front page'!$E$3</f>
        <v>41308.716832757869</v>
      </c>
      <c r="AK45" s="6">
        <f>Q45*'Front page'!$E$3</f>
        <v>29657.540290185138</v>
      </c>
      <c r="AL45" s="6">
        <f>S45*'Front page'!$E$3</f>
        <v>7247.5866538696346</v>
      </c>
      <c r="AM45" s="5">
        <f>Z45*'Front page'!$E$3</f>
        <v>27766.350458087036</v>
      </c>
      <c r="AN45" s="6">
        <f>T45*'Front page'!$E$3</f>
        <v>1787.9260003511613</v>
      </c>
      <c r="AO45" s="6">
        <f>U45*'Front page'!$E$3</f>
        <v>0</v>
      </c>
      <c r="AP45" s="6">
        <f>W45*'Front page'!$E$3</f>
        <v>629278.91613872664</v>
      </c>
      <c r="AQ45" s="6">
        <f>V45*'Front page'!$E$3</f>
        <v>0</v>
      </c>
      <c r="AR45" s="6">
        <f>X45*'Front page'!$E$3</f>
        <v>0</v>
      </c>
      <c r="AS45" s="6">
        <f t="shared" si="7"/>
        <v>1680580.4967488674</v>
      </c>
      <c r="AT45" s="7">
        <f>IF(AS45&gt;'Funding Comparison'!D45*(1+'Front page'!$H$10),'Funding Comparison'!D45*(1+'Front page'!$H$10),AS45)</f>
        <v>1680580.4967488674</v>
      </c>
    </row>
    <row r="46" spans="1:46">
      <c r="A46" t="str">
        <f t="shared" si="0"/>
        <v>191</v>
      </c>
      <c r="B46">
        <f t="shared" si="2"/>
        <v>191</v>
      </c>
      <c r="C46" s="15" t="s">
        <v>55</v>
      </c>
      <c r="D46">
        <f>IF(settings!$G$4=0,'Student Enrollment Data'!AX47,'Student Enrollment Data'!CK47)</f>
        <v>2</v>
      </c>
      <c r="E46">
        <f>IF(settings!$G$4=0,'Student Enrollment Data'!AY47,'Student Enrollment Data'!CL47)</f>
        <v>1</v>
      </c>
      <c r="F46">
        <f>IF(settings!$G$4=0,'Student Enrollment Data'!AZ47,'Student Enrollment Data'!CM47)</f>
        <v>0</v>
      </c>
      <c r="G46" s="25">
        <f>'Student Enrollment Data'!BK47</f>
        <v>0.46338134621106397</v>
      </c>
      <c r="H46">
        <f>'Student Enrollment Data'!BF47</f>
        <v>0.86</v>
      </c>
      <c r="I46">
        <f>SUM('Student Enrollment Data'!R47:X47,'Student Enrollment Data'!AQ47:AW47)</f>
        <v>0</v>
      </c>
      <c r="J46">
        <f>'Student Enrollment Data'!BS47</f>
        <v>0</v>
      </c>
      <c r="K46">
        <f t="shared" si="3"/>
        <v>3</v>
      </c>
      <c r="M46" s="30">
        <f t="shared" si="8"/>
        <v>30</v>
      </c>
      <c r="N46" s="30">
        <f>E46*'Front page'!$B$20</f>
        <v>0.1</v>
      </c>
      <c r="O46" s="30">
        <f>F46*'Front page'!$B$21</f>
        <v>0</v>
      </c>
      <c r="P46">
        <f>G46*'Front page'!$B$18</f>
        <v>0.30119787503719159</v>
      </c>
      <c r="Q46" s="30">
        <f>IF(settings!$B$4=0,Calculations!H46,Calculations!I46) *'Front page'!$B$11</f>
        <v>8.6000000000000007E-2</v>
      </c>
      <c r="R46" s="31">
        <f>ROUND(I46*'Front page'!$B$9,2)</f>
        <v>0</v>
      </c>
      <c r="S46" s="30">
        <f>J46*'Front page'!$B$14</f>
        <v>0</v>
      </c>
      <c r="T46" s="103">
        <f>'Front page'!$B$16*Calculations!K46</f>
        <v>0.06</v>
      </c>
      <c r="U46" s="103">
        <f>IF(settings!$B$13=0,(Calculations!M46*'District Wealth Adjustment'!M45)-Calculations!M46,0)</f>
        <v>0</v>
      </c>
      <c r="V46" s="185">
        <f>VLOOKUP(B46,'Remote School Building Weight'!$M$2:$P$174,3,FALSE)</f>
        <v>0</v>
      </c>
      <c r="W46" s="25">
        <f>'Small Dist Weight'!V45-Calculations!D46</f>
        <v>2.0999999999999996</v>
      </c>
      <c r="X46" s="25">
        <f>IF(settings!$P$9=0,'Large District Weight'!H45*'Large District Weight'!G45,0)</f>
        <v>0</v>
      </c>
      <c r="Y46" s="25">
        <f t="shared" si="4"/>
        <v>32.647197875037193</v>
      </c>
      <c r="Z46" s="25">
        <f>IF(settings!$F$13=0,'Teacher Exp'!L46,0)</f>
        <v>0</v>
      </c>
      <c r="AA46" s="25">
        <f t="shared" si="5"/>
        <v>32.647197875037193</v>
      </c>
      <c r="AC46" s="26">
        <f>'Student Enrollment Data'!BU47</f>
        <v>0</v>
      </c>
      <c r="AD46" s="26">
        <f t="shared" si="6"/>
        <v>3</v>
      </c>
      <c r="AE46" s="26">
        <f>AD46*'Front page'!$B$16</f>
        <v>0.06</v>
      </c>
      <c r="AG46" s="6">
        <f>M46*'Front page'!$E$3</f>
        <v>127103.74410079344</v>
      </c>
      <c r="AH46" s="6">
        <f>N46*'Front page'!$E$3</f>
        <v>423.67914700264487</v>
      </c>
      <c r="AI46" s="6">
        <f>O46*'Front page'!$E$3</f>
        <v>0</v>
      </c>
      <c r="AJ46" s="6">
        <f>P46*'Front page'!$E$3</f>
        <v>1276.1125877476654</v>
      </c>
      <c r="AK46" s="6">
        <f>Q46*'Front page'!$E$3</f>
        <v>364.36406642227456</v>
      </c>
      <c r="AL46" s="6">
        <f>S46*'Front page'!$E$3</f>
        <v>0</v>
      </c>
      <c r="AM46" s="5">
        <f>Z46*'Front page'!$E$3</f>
        <v>0</v>
      </c>
      <c r="AN46" s="6">
        <f>T46*'Front page'!$E$3</f>
        <v>254.2074882015869</v>
      </c>
      <c r="AO46" s="6">
        <f>U46*'Front page'!$E$3</f>
        <v>0</v>
      </c>
      <c r="AP46" s="6">
        <f>W46*'Front page'!$E$3</f>
        <v>8897.2620870555402</v>
      </c>
      <c r="AQ46" s="6">
        <f>V46*'Front page'!$E$3</f>
        <v>0</v>
      </c>
      <c r="AR46" s="6">
        <f>X46*'Front page'!$E$3</f>
        <v>0</v>
      </c>
      <c r="AS46" s="6">
        <f t="shared" si="7"/>
        <v>138319.36947722314</v>
      </c>
      <c r="AT46" s="7">
        <f>IF(AS46&gt;'Funding Comparison'!D46*(1+'Front page'!$H$10),'Funding Comparison'!D46*(1+'Front page'!$H$10),AS46)</f>
        <v>138319.36947722314</v>
      </c>
    </row>
    <row r="47" spans="1:46">
      <c r="A47" t="str">
        <f t="shared" si="0"/>
        <v>192</v>
      </c>
      <c r="B47">
        <f t="shared" si="2"/>
        <v>192</v>
      </c>
      <c r="C47" s="15" t="s">
        <v>56</v>
      </c>
      <c r="D47">
        <f>IF(settings!$G$4=0,'Student Enrollment Data'!AX48,'Student Enrollment Data'!CK48)</f>
        <v>383.5</v>
      </c>
      <c r="E47">
        <f>IF(settings!$G$4=0,'Student Enrollment Data'!AY48,'Student Enrollment Data'!CL48)</f>
        <v>92.5</v>
      </c>
      <c r="F47">
        <f>IF(settings!$G$4=0,'Student Enrollment Data'!AZ48,'Student Enrollment Data'!CM48)</f>
        <v>123</v>
      </c>
      <c r="G47" s="25">
        <f>'Student Enrollment Data'!BK48</f>
        <v>68</v>
      </c>
      <c r="H47">
        <f>'Student Enrollment Data'!BF48</f>
        <v>257</v>
      </c>
      <c r="I47">
        <f>SUM('Student Enrollment Data'!R48:X48,'Student Enrollment Data'!AQ48:AW48)</f>
        <v>0</v>
      </c>
      <c r="J47">
        <f>'Student Enrollment Data'!BS48</f>
        <v>79</v>
      </c>
      <c r="K47">
        <f t="shared" si="3"/>
        <v>38.35</v>
      </c>
      <c r="M47" s="30">
        <f t="shared" si="8"/>
        <v>383.5</v>
      </c>
      <c r="N47" s="30">
        <f>E47*'Front page'!$B$20</f>
        <v>9.25</v>
      </c>
      <c r="O47" s="30">
        <f>F47*'Front page'!$B$21</f>
        <v>12.3</v>
      </c>
      <c r="P47">
        <f>G47*'Front page'!$B$18</f>
        <v>44.2</v>
      </c>
      <c r="Q47" s="30">
        <f>IF(settings!$B$4=0,Calculations!H47,Calculations!I47) *'Front page'!$B$11</f>
        <v>25.700000000000003</v>
      </c>
      <c r="R47" s="31">
        <f>ROUND(I47*'Front page'!$B$9,2)</f>
        <v>0</v>
      </c>
      <c r="S47" s="30">
        <f>J47*'Front page'!$B$14</f>
        <v>7.9</v>
      </c>
      <c r="T47" s="103">
        <f>'Front page'!$B$16*Calculations!K47</f>
        <v>0.76700000000000002</v>
      </c>
      <c r="U47" s="103">
        <f>IF(settings!$B$13=0,(Calculations!M47*'District Wealth Adjustment'!M46)-Calculations!M47,0)</f>
        <v>0</v>
      </c>
      <c r="V47" s="185">
        <f>VLOOKUP(B47,'Remote School Building Weight'!$M$2:$P$174,3,FALSE)</f>
        <v>0</v>
      </c>
      <c r="W47" s="25">
        <f>'Small Dist Weight'!V46-Calculations!D47</f>
        <v>173.32788597178683</v>
      </c>
      <c r="X47" s="25">
        <f>IF(settings!$P$9=0,'Large District Weight'!H46*'Large District Weight'!G46,0)</f>
        <v>0</v>
      </c>
      <c r="Y47" s="25">
        <f t="shared" si="4"/>
        <v>656.94488597178679</v>
      </c>
      <c r="Z47" s="25">
        <f>IF(settings!$F$13=0,'Teacher Exp'!L47,0)</f>
        <v>7.9862646636811991</v>
      </c>
      <c r="AA47" s="25">
        <f t="shared" si="5"/>
        <v>664.93115063546804</v>
      </c>
      <c r="AC47" s="26">
        <f>'Student Enrollment Data'!BU48</f>
        <v>3</v>
      </c>
      <c r="AD47" s="26">
        <f t="shared" si="6"/>
        <v>38.35</v>
      </c>
      <c r="AE47" s="26">
        <f>AD47*'Front page'!$B$16</f>
        <v>0.76700000000000002</v>
      </c>
      <c r="AG47" s="6">
        <f>M47*'Front page'!$E$3</f>
        <v>1624809.5287551428</v>
      </c>
      <c r="AH47" s="6">
        <f>N47*'Front page'!$E$3</f>
        <v>39190.321097744643</v>
      </c>
      <c r="AI47" s="6">
        <f>O47*'Front page'!$E$3</f>
        <v>52112.535081325317</v>
      </c>
      <c r="AJ47" s="6">
        <f>P47*'Front page'!$E$3</f>
        <v>187266.18297516901</v>
      </c>
      <c r="AK47" s="6">
        <f>Q47*'Front page'!$E$3</f>
        <v>108885.54077967974</v>
      </c>
      <c r="AL47" s="6">
        <f>S47*'Front page'!$E$3</f>
        <v>33470.652613208942</v>
      </c>
      <c r="AM47" s="5">
        <f>Z47*'Front page'!$E$3</f>
        <v>33836.138004458146</v>
      </c>
      <c r="AN47" s="6">
        <f>T47*'Front page'!$E$3</f>
        <v>3249.619057510286</v>
      </c>
      <c r="AO47" s="6">
        <f>U47*'Front page'!$E$3</f>
        <v>0</v>
      </c>
      <c r="AP47" s="6">
        <f>W47*'Front page'!$E$3</f>
        <v>734354.1088029833</v>
      </c>
      <c r="AQ47" s="6">
        <f>V47*'Front page'!$E$3</f>
        <v>0</v>
      </c>
      <c r="AR47" s="6">
        <f>X47*'Front page'!$E$3</f>
        <v>0</v>
      </c>
      <c r="AS47" s="6">
        <f t="shared" si="7"/>
        <v>2817174.6271672221</v>
      </c>
      <c r="AT47" s="7">
        <f>IF(AS47&gt;'Funding Comparison'!D47*(1+'Front page'!$H$10),'Funding Comparison'!D47*(1+'Front page'!$H$10),AS47)</f>
        <v>2817174.6271672221</v>
      </c>
    </row>
    <row r="48" spans="1:46">
      <c r="A48" t="str">
        <f t="shared" si="0"/>
        <v>193</v>
      </c>
      <c r="B48">
        <f t="shared" si="2"/>
        <v>193</v>
      </c>
      <c r="C48" s="15" t="s">
        <v>57</v>
      </c>
      <c r="D48">
        <f>IF(settings!$G$4=0,'Student Enrollment Data'!AX49,'Student Enrollment Data'!CK49)</f>
        <v>3737.5</v>
      </c>
      <c r="E48">
        <f>IF(settings!$G$4=0,'Student Enrollment Data'!AY49,'Student Enrollment Data'!CL49)</f>
        <v>1094.5</v>
      </c>
      <c r="F48">
        <f>IF(settings!$G$4=0,'Student Enrollment Data'!AZ49,'Student Enrollment Data'!CM49)</f>
        <v>1067</v>
      </c>
      <c r="G48" s="25">
        <f>'Student Enrollment Data'!BK49</f>
        <v>447</v>
      </c>
      <c r="H48">
        <f>'Student Enrollment Data'!BF49</f>
        <v>1740</v>
      </c>
      <c r="I48">
        <f>SUM('Student Enrollment Data'!R49:X49,'Student Enrollment Data'!AQ49:AW49)</f>
        <v>101.44790821394399</v>
      </c>
      <c r="J48">
        <f>'Student Enrollment Data'!BS49</f>
        <v>280</v>
      </c>
      <c r="K48">
        <f t="shared" si="3"/>
        <v>373.75</v>
      </c>
      <c r="M48" s="30">
        <f t="shared" si="8"/>
        <v>3737.5</v>
      </c>
      <c r="N48" s="30">
        <f>E48*'Front page'!$B$20</f>
        <v>109.45</v>
      </c>
      <c r="O48" s="30">
        <f>F48*'Front page'!$B$21</f>
        <v>106.7</v>
      </c>
      <c r="P48">
        <f>G48*'Front page'!$B$18</f>
        <v>290.55</v>
      </c>
      <c r="Q48" s="30">
        <f>IF(settings!$B$4=0,Calculations!H48,Calculations!I48) *'Front page'!$B$11</f>
        <v>174</v>
      </c>
      <c r="R48" s="31">
        <f>ROUND(I48*'Front page'!$B$9,2)</f>
        <v>0</v>
      </c>
      <c r="S48" s="30">
        <f>J48*'Front page'!$B$14</f>
        <v>28</v>
      </c>
      <c r="T48" s="103">
        <f>'Front page'!$B$16*Calculations!K48</f>
        <v>7.4750000000000005</v>
      </c>
      <c r="U48" s="103">
        <f>IF(settings!$B$13=0,(Calculations!M48*'District Wealth Adjustment'!M47)-Calculations!M48,0)</f>
        <v>373.75</v>
      </c>
      <c r="V48" s="185">
        <f>VLOOKUP(B48,'Remote School Building Weight'!$M$2:$P$174,3,FALSE)</f>
        <v>3.6463822487689912</v>
      </c>
      <c r="W48" s="25">
        <f>'Small Dist Weight'!V47-Calculations!D48</f>
        <v>0</v>
      </c>
      <c r="X48" s="25">
        <f>IF(settings!$P$9=0,'Large District Weight'!H47*'Large District Weight'!G47,0)</f>
        <v>0</v>
      </c>
      <c r="Y48" s="25">
        <f t="shared" si="4"/>
        <v>4831.0713822487696</v>
      </c>
      <c r="Z48" s="25">
        <f>IF(settings!$F$13=0,'Teacher Exp'!L48,0)</f>
        <v>22.243051241533799</v>
      </c>
      <c r="AA48" s="25">
        <f t="shared" si="5"/>
        <v>4853.3144334903036</v>
      </c>
      <c r="AC48" s="26">
        <f>'Student Enrollment Data'!BU49</f>
        <v>42</v>
      </c>
      <c r="AD48" s="26">
        <f t="shared" si="6"/>
        <v>373.75</v>
      </c>
      <c r="AE48" s="26">
        <f>AD48*'Front page'!$B$16</f>
        <v>7.4750000000000005</v>
      </c>
      <c r="AG48" s="6">
        <f>M48*'Front page'!$E$3</f>
        <v>15835008.11922385</v>
      </c>
      <c r="AH48" s="6">
        <f>N48*'Front page'!$E$3</f>
        <v>463716.8263943948</v>
      </c>
      <c r="AI48" s="6">
        <f>O48*'Front page'!$E$3</f>
        <v>452065.64985182206</v>
      </c>
      <c r="AJ48" s="6">
        <f>P48*'Front page'!$E$3</f>
        <v>1230999.7616161846</v>
      </c>
      <c r="AK48" s="6">
        <f>Q48*'Front page'!$E$3</f>
        <v>737201.71578460198</v>
      </c>
      <c r="AL48" s="6">
        <f>S48*'Front page'!$E$3</f>
        <v>118630.16116074055</v>
      </c>
      <c r="AM48" s="5">
        <f>Z48*'Front page'!$E$3</f>
        <v>94239.169767491592</v>
      </c>
      <c r="AN48" s="6">
        <f>T48*'Front page'!$E$3</f>
        <v>31670.016238447704</v>
      </c>
      <c r="AO48" s="6">
        <f>U48*'Front page'!$E$3</f>
        <v>1583500.8119223851</v>
      </c>
      <c r="AP48" s="6">
        <f>W48*'Front page'!$E$3</f>
        <v>0</v>
      </c>
      <c r="AQ48" s="6">
        <f>V48*'Front page'!$E$3</f>
        <v>15448.96120804032</v>
      </c>
      <c r="AR48" s="6">
        <f>X48*'Front page'!$E$3</f>
        <v>0</v>
      </c>
      <c r="AS48" s="6">
        <f t="shared" si="7"/>
        <v>20562481.193167958</v>
      </c>
      <c r="AT48" s="7">
        <f>IF(AS48&gt;'Funding Comparison'!D48*(1+'Front page'!$H$10),'Funding Comparison'!D48*(1+'Front page'!$H$10),AS48)</f>
        <v>20552615.120500002</v>
      </c>
    </row>
    <row r="49" spans="1:46">
      <c r="A49" t="str">
        <f t="shared" si="0"/>
        <v>201</v>
      </c>
      <c r="B49">
        <f t="shared" si="2"/>
        <v>201</v>
      </c>
      <c r="C49" s="15" t="s">
        <v>58</v>
      </c>
      <c r="D49">
        <f>IF(settings!$G$4=0,'Student Enrollment Data'!AX50,'Student Enrollment Data'!CK50)</f>
        <v>2246</v>
      </c>
      <c r="E49">
        <f>IF(settings!$G$4=0,'Student Enrollment Data'!AY50,'Student Enrollment Data'!CL50)</f>
        <v>563</v>
      </c>
      <c r="F49">
        <f>IF(settings!$G$4=0,'Student Enrollment Data'!AZ50,'Student Enrollment Data'!CM50)</f>
        <v>734</v>
      </c>
      <c r="G49" s="25">
        <f>'Student Enrollment Data'!BK50</f>
        <v>263</v>
      </c>
      <c r="H49">
        <f>'Student Enrollment Data'!BF50</f>
        <v>935</v>
      </c>
      <c r="I49">
        <f>SUM('Student Enrollment Data'!R50:X50,'Student Enrollment Data'!AQ50:AW50)</f>
        <v>86.343343493265522</v>
      </c>
      <c r="J49">
        <f>'Student Enrollment Data'!BS50</f>
        <v>90</v>
      </c>
      <c r="K49">
        <f t="shared" si="3"/>
        <v>224.60000000000002</v>
      </c>
      <c r="M49" s="30">
        <f t="shared" si="8"/>
        <v>2246</v>
      </c>
      <c r="N49" s="30">
        <f>E49*'Front page'!$B$20</f>
        <v>56.300000000000004</v>
      </c>
      <c r="O49" s="30">
        <f>F49*'Front page'!$B$21</f>
        <v>73.400000000000006</v>
      </c>
      <c r="P49">
        <f>G49*'Front page'!$B$18</f>
        <v>170.95000000000002</v>
      </c>
      <c r="Q49" s="30">
        <f>IF(settings!$B$4=0,Calculations!H49,Calculations!I49) *'Front page'!$B$11</f>
        <v>93.5</v>
      </c>
      <c r="R49" s="31">
        <f>ROUND(I49*'Front page'!$B$9,2)</f>
        <v>0</v>
      </c>
      <c r="S49" s="30">
        <f>J49*'Front page'!$B$14</f>
        <v>9</v>
      </c>
      <c r="T49" s="103">
        <f>'Front page'!$B$16*Calculations!K49</f>
        <v>4.4920000000000009</v>
      </c>
      <c r="U49" s="103">
        <f>IF(settings!$B$13=0,(Calculations!M49*'District Wealth Adjustment'!M48)-Calculations!M49,0)</f>
        <v>224.60000000000036</v>
      </c>
      <c r="V49" s="185">
        <f>VLOOKUP(B49,'Remote School Building Weight'!$M$2:$P$174,3,FALSE)</f>
        <v>0</v>
      </c>
      <c r="W49" s="25">
        <f>'Small Dist Weight'!V48-Calculations!D49</f>
        <v>0</v>
      </c>
      <c r="X49" s="25">
        <f>IF(settings!$P$9=0,'Large District Weight'!H48*'Large District Weight'!G48,0)</f>
        <v>0</v>
      </c>
      <c r="Y49" s="25">
        <f t="shared" si="4"/>
        <v>2878.2420000000006</v>
      </c>
      <c r="Z49" s="25">
        <f>IF(settings!$F$13=0,'Teacher Exp'!L49,0)</f>
        <v>2.7450183782342767</v>
      </c>
      <c r="AA49" s="25">
        <f t="shared" si="5"/>
        <v>2880.987018378235</v>
      </c>
      <c r="AC49" s="26">
        <f>'Student Enrollment Data'!BU50</f>
        <v>183</v>
      </c>
      <c r="AD49" s="26">
        <f t="shared" si="6"/>
        <v>224.60000000000002</v>
      </c>
      <c r="AE49" s="26">
        <f>AD49*'Front page'!$B$16</f>
        <v>4.4920000000000009</v>
      </c>
      <c r="AG49" s="6">
        <f>M49*'Front page'!$E$3</f>
        <v>9515833.6416794024</v>
      </c>
      <c r="AH49" s="6">
        <f>N49*'Front page'!$E$3</f>
        <v>238531.35976248904</v>
      </c>
      <c r="AI49" s="6">
        <f>O49*'Front page'!$E$3</f>
        <v>310980.49389994133</v>
      </c>
      <c r="AJ49" s="6">
        <f>P49*'Front page'!$E$3</f>
        <v>724279.5018010214</v>
      </c>
      <c r="AK49" s="6">
        <f>Q49*'Front page'!$E$3</f>
        <v>396140.00244747289</v>
      </c>
      <c r="AL49" s="6">
        <f>S49*'Front page'!$E$3</f>
        <v>38131.123230238038</v>
      </c>
      <c r="AM49" s="5">
        <f>Z49*'Front page'!$E$3</f>
        <v>11630.070449968818</v>
      </c>
      <c r="AN49" s="6">
        <f>T49*'Front page'!$E$3</f>
        <v>19031.667283358809</v>
      </c>
      <c r="AO49" s="6">
        <f>U49*'Front page'!$E$3</f>
        <v>951583.36416794185</v>
      </c>
      <c r="AP49" s="6">
        <f>W49*'Front page'!$E$3</f>
        <v>0</v>
      </c>
      <c r="AQ49" s="6">
        <f>V49*'Front page'!$E$3</f>
        <v>0</v>
      </c>
      <c r="AR49" s="6">
        <f>X49*'Front page'!$E$3</f>
        <v>0</v>
      </c>
      <c r="AS49" s="6">
        <f t="shared" si="7"/>
        <v>12206141.224721834</v>
      </c>
      <c r="AT49" s="7">
        <f>IF(AS49&gt;'Funding Comparison'!D49*(1+'Front page'!$H$10),'Funding Comparison'!D49*(1+'Front page'!$H$10),AS49)</f>
        <v>12206141.224721834</v>
      </c>
    </row>
    <row r="50" spans="1:46">
      <c r="A50" t="str">
        <f t="shared" si="0"/>
        <v>202</v>
      </c>
      <c r="B50">
        <f t="shared" si="2"/>
        <v>202</v>
      </c>
      <c r="C50" s="15" t="s">
        <v>59</v>
      </c>
      <c r="D50">
        <f>IF(settings!$G$4=0,'Student Enrollment Data'!AX51,'Student Enrollment Data'!CK51)</f>
        <v>721</v>
      </c>
      <c r="E50">
        <f>IF(settings!$G$4=0,'Student Enrollment Data'!AY51,'Student Enrollment Data'!CL51)</f>
        <v>212</v>
      </c>
      <c r="F50">
        <f>IF(settings!$G$4=0,'Student Enrollment Data'!AZ51,'Student Enrollment Data'!CM51)</f>
        <v>181</v>
      </c>
      <c r="G50" s="25">
        <f>'Student Enrollment Data'!BK51</f>
        <v>45</v>
      </c>
      <c r="H50">
        <f>'Student Enrollment Data'!BF51</f>
        <v>351</v>
      </c>
      <c r="I50">
        <f>SUM('Student Enrollment Data'!R51:X51,'Student Enrollment Data'!AQ51:AW51)</f>
        <v>0</v>
      </c>
      <c r="J50">
        <f>'Student Enrollment Data'!BS51</f>
        <v>56.898377678286963</v>
      </c>
      <c r="K50">
        <f t="shared" si="3"/>
        <v>72.100000000000009</v>
      </c>
      <c r="M50" s="30">
        <f t="shared" si="8"/>
        <v>721</v>
      </c>
      <c r="N50" s="30">
        <f>E50*'Front page'!$B$20</f>
        <v>21.200000000000003</v>
      </c>
      <c r="O50" s="30">
        <f>F50*'Front page'!$B$21</f>
        <v>18.100000000000001</v>
      </c>
      <c r="P50">
        <f>G50*'Front page'!$B$18</f>
        <v>29.25</v>
      </c>
      <c r="Q50" s="30">
        <f>IF(settings!$B$4=0,Calculations!H50,Calculations!I50) *'Front page'!$B$11</f>
        <v>35.1</v>
      </c>
      <c r="R50" s="31">
        <f>ROUND(I50*'Front page'!$B$9,2)</f>
        <v>0</v>
      </c>
      <c r="S50" s="30">
        <f>J50*'Front page'!$B$14</f>
        <v>5.6898377678286964</v>
      </c>
      <c r="T50" s="103">
        <f>'Front page'!$B$16*Calculations!K50</f>
        <v>1.4420000000000002</v>
      </c>
      <c r="U50" s="103">
        <f>IF(settings!$B$13=0,(Calculations!M50*'District Wealth Adjustment'!M49)-Calculations!M50,0)</f>
        <v>72.100000000000023</v>
      </c>
      <c r="V50" s="185">
        <f>VLOOKUP(B50,'Remote School Building Weight'!$M$2:$P$174,3,FALSE)</f>
        <v>0</v>
      </c>
      <c r="W50" s="25">
        <f>'Small Dist Weight'!V49-Calculations!D50</f>
        <v>150.51025862068968</v>
      </c>
      <c r="X50" s="25">
        <f>IF(settings!$P$9=0,'Large District Weight'!H49*'Large District Weight'!G49,0)</f>
        <v>0</v>
      </c>
      <c r="Y50" s="25">
        <f t="shared" si="4"/>
        <v>1054.3920963885184</v>
      </c>
      <c r="Z50" s="25">
        <f>IF(settings!$F$13=0,'Teacher Exp'!L50,0)</f>
        <v>0</v>
      </c>
      <c r="AA50" s="25">
        <f t="shared" si="5"/>
        <v>1054.3920963885184</v>
      </c>
      <c r="AC50" s="26">
        <f>'Student Enrollment Data'!BU51</f>
        <v>78</v>
      </c>
      <c r="AD50" s="26">
        <f t="shared" si="6"/>
        <v>72.100000000000009</v>
      </c>
      <c r="AE50" s="26">
        <f>AD50*'Front page'!$B$16</f>
        <v>1.4420000000000002</v>
      </c>
      <c r="AG50" s="6">
        <f>M50*'Front page'!$E$3</f>
        <v>3054726.6498890691</v>
      </c>
      <c r="AH50" s="6">
        <f>N50*'Front page'!$E$3</f>
        <v>89819.979164560718</v>
      </c>
      <c r="AI50" s="6">
        <f>O50*'Front page'!$E$3</f>
        <v>76685.925607478712</v>
      </c>
      <c r="AJ50" s="6">
        <f>P50*'Front page'!$E$3</f>
        <v>123926.15049827361</v>
      </c>
      <c r="AK50" s="6">
        <f>Q50*'Front page'!$E$3</f>
        <v>148711.38059792834</v>
      </c>
      <c r="AL50" s="6">
        <f>S50*'Front page'!$E$3</f>
        <v>24106.656120570948</v>
      </c>
      <c r="AM50" s="5">
        <f>Z50*'Front page'!$E$3</f>
        <v>0</v>
      </c>
      <c r="AN50" s="6">
        <f>T50*'Front page'!$E$3</f>
        <v>6109.4532997781389</v>
      </c>
      <c r="AO50" s="6">
        <f>U50*'Front page'!$E$3</f>
        <v>305472.664988907</v>
      </c>
      <c r="AP50" s="6">
        <f>W50*'Front page'!$E$3</f>
        <v>637680.57987561275</v>
      </c>
      <c r="AQ50" s="6">
        <f>V50*'Front page'!$E$3</f>
        <v>0</v>
      </c>
      <c r="AR50" s="6">
        <f>X50*'Front page'!$E$3</f>
        <v>0</v>
      </c>
      <c r="AS50" s="6">
        <f t="shared" si="7"/>
        <v>4467239.44004218</v>
      </c>
      <c r="AT50" s="7">
        <f>IF(AS50&gt;'Funding Comparison'!D50*(1+'Front page'!$H$10),'Funding Comparison'!D50*(1+'Front page'!$H$10),AS50)</f>
        <v>4207222.0497500002</v>
      </c>
    </row>
    <row r="51" spans="1:46">
      <c r="A51" t="str">
        <f t="shared" si="0"/>
        <v>215</v>
      </c>
      <c r="B51">
        <f t="shared" si="2"/>
        <v>215</v>
      </c>
      <c r="C51" s="15" t="s">
        <v>60</v>
      </c>
      <c r="D51">
        <f>IF(settings!$G$4=0,'Student Enrollment Data'!AX52,'Student Enrollment Data'!CK52)</f>
        <v>2105</v>
      </c>
      <c r="E51">
        <f>IF(settings!$G$4=0,'Student Enrollment Data'!AY52,'Student Enrollment Data'!CL52)</f>
        <v>553</v>
      </c>
      <c r="F51">
        <f>IF(settings!$G$4=0,'Student Enrollment Data'!AZ52,'Student Enrollment Data'!CM52)</f>
        <v>667</v>
      </c>
      <c r="G51" s="25">
        <f>'Student Enrollment Data'!BK52</f>
        <v>212</v>
      </c>
      <c r="H51">
        <f>'Student Enrollment Data'!BF52</f>
        <v>1038</v>
      </c>
      <c r="I51">
        <f>SUM('Student Enrollment Data'!R52:X52,'Student Enrollment Data'!AQ52:AW52)</f>
        <v>0</v>
      </c>
      <c r="J51">
        <f>'Student Enrollment Data'!BS52</f>
        <v>263</v>
      </c>
      <c r="K51">
        <f t="shared" si="3"/>
        <v>210.5</v>
      </c>
      <c r="M51" s="30">
        <f t="shared" si="8"/>
        <v>2105</v>
      </c>
      <c r="N51" s="30">
        <f>E51*'Front page'!$B$20</f>
        <v>55.300000000000004</v>
      </c>
      <c r="O51" s="30">
        <f>F51*'Front page'!$B$21</f>
        <v>66.7</v>
      </c>
      <c r="P51">
        <f>G51*'Front page'!$B$18</f>
        <v>137.80000000000001</v>
      </c>
      <c r="Q51" s="30">
        <f>IF(settings!$B$4=0,Calculations!H51,Calculations!I51) *'Front page'!$B$11</f>
        <v>103.80000000000001</v>
      </c>
      <c r="R51" s="31">
        <f>ROUND(I51*'Front page'!$B$9,2)</f>
        <v>0</v>
      </c>
      <c r="S51" s="30">
        <f>J51*'Front page'!$B$14</f>
        <v>26.3</v>
      </c>
      <c r="T51" s="103">
        <f>'Front page'!$B$16*Calculations!K51</f>
        <v>4.21</v>
      </c>
      <c r="U51" s="103">
        <f>IF(settings!$B$13=0,(Calculations!M51*'District Wealth Adjustment'!M50)-Calculations!M51,0)</f>
        <v>0</v>
      </c>
      <c r="V51" s="185">
        <f>VLOOKUP(B51,'Remote School Building Weight'!$M$2:$P$174,3,FALSE)</f>
        <v>34.061836128669121</v>
      </c>
      <c r="W51" s="25">
        <f>'Small Dist Weight'!V50-Calculations!D51</f>
        <v>0</v>
      </c>
      <c r="X51" s="25">
        <f>IF(settings!$P$9=0,'Large District Weight'!H50*'Large District Weight'!G50,0)</f>
        <v>0</v>
      </c>
      <c r="Y51" s="25">
        <f t="shared" si="4"/>
        <v>2533.1718361286698</v>
      </c>
      <c r="Z51" s="25">
        <f>IF(settings!$F$13=0,'Teacher Exp'!L51,0)</f>
        <v>10.186692003869059</v>
      </c>
      <c r="AA51" s="25">
        <f t="shared" si="5"/>
        <v>2543.358528132539</v>
      </c>
      <c r="AC51" s="26">
        <f>'Student Enrollment Data'!BU52</f>
        <v>80</v>
      </c>
      <c r="AD51" s="26">
        <f t="shared" si="6"/>
        <v>210.5</v>
      </c>
      <c r="AE51" s="26">
        <f>AD51*'Front page'!$B$16</f>
        <v>4.21</v>
      </c>
      <c r="AG51" s="6">
        <f>M51*'Front page'!$E$3</f>
        <v>8918446.0444056727</v>
      </c>
      <c r="AH51" s="6">
        <f>N51*'Front page'!$E$3</f>
        <v>234294.56829246262</v>
      </c>
      <c r="AI51" s="6">
        <f>O51*'Front page'!$E$3</f>
        <v>282593.9910507641</v>
      </c>
      <c r="AJ51" s="6">
        <f>P51*'Front page'!$E$3</f>
        <v>583829.86456964456</v>
      </c>
      <c r="AK51" s="6">
        <f>Q51*'Front page'!$E$3</f>
        <v>439778.95458874537</v>
      </c>
      <c r="AL51" s="6">
        <f>S51*'Front page'!$E$3</f>
        <v>111427.61566169559</v>
      </c>
      <c r="AM51" s="5">
        <f>Z51*'Front page'!$E$3</f>
        <v>43158.889789779052</v>
      </c>
      <c r="AN51" s="6">
        <f>T51*'Front page'!$E$3</f>
        <v>17836.892088811346</v>
      </c>
      <c r="AO51" s="6">
        <f>U51*'Front page'!$E$3</f>
        <v>0</v>
      </c>
      <c r="AP51" s="6">
        <f>W51*'Front page'!$E$3</f>
        <v>0</v>
      </c>
      <c r="AQ51" s="6">
        <f>V51*'Front page'!$E$3</f>
        <v>144312.89676338402</v>
      </c>
      <c r="AR51" s="6">
        <f>X51*'Front page'!$E$3</f>
        <v>0</v>
      </c>
      <c r="AS51" s="6">
        <f t="shared" si="7"/>
        <v>10775679.717210962</v>
      </c>
      <c r="AT51" s="7">
        <f>IF(AS51&gt;'Funding Comparison'!D51*(1+'Front page'!$H$10),'Funding Comparison'!D51*(1+'Front page'!$H$10),AS51)</f>
        <v>10775679.717210962</v>
      </c>
    </row>
    <row r="52" spans="1:46">
      <c r="A52" t="str">
        <f t="shared" si="0"/>
        <v>221</v>
      </c>
      <c r="B52">
        <f t="shared" si="2"/>
        <v>221</v>
      </c>
      <c r="C52" s="15" t="s">
        <v>61</v>
      </c>
      <c r="D52">
        <f>IF(settings!$G$4=0,'Student Enrollment Data'!AX53,'Student Enrollment Data'!CK53)</f>
        <v>2323.5</v>
      </c>
      <c r="E52">
        <f>IF(settings!$G$4=0,'Student Enrollment Data'!AY53,'Student Enrollment Data'!CL53)</f>
        <v>717.5</v>
      </c>
      <c r="F52">
        <f>IF(settings!$G$4=0,'Student Enrollment Data'!AZ53,'Student Enrollment Data'!CM53)</f>
        <v>592</v>
      </c>
      <c r="G52" s="25">
        <f>'Student Enrollment Data'!BK53</f>
        <v>318</v>
      </c>
      <c r="H52">
        <f>'Student Enrollment Data'!BF53</f>
        <v>1462</v>
      </c>
      <c r="I52">
        <f>SUM('Student Enrollment Data'!R53:X53,'Student Enrollment Data'!AQ53:AW53)</f>
        <v>126.69034528576536</v>
      </c>
      <c r="J52">
        <f>'Student Enrollment Data'!BS53</f>
        <v>117</v>
      </c>
      <c r="K52">
        <f t="shared" si="3"/>
        <v>232.35000000000002</v>
      </c>
      <c r="M52" s="30">
        <f t="shared" si="8"/>
        <v>2323.5</v>
      </c>
      <c r="N52" s="30">
        <f>E52*'Front page'!$B$20</f>
        <v>71.75</v>
      </c>
      <c r="O52" s="30">
        <f>F52*'Front page'!$B$21</f>
        <v>59.2</v>
      </c>
      <c r="P52">
        <f>G52*'Front page'!$B$18</f>
        <v>206.70000000000002</v>
      </c>
      <c r="Q52" s="30">
        <f>IF(settings!$B$4=0,Calculations!H52,Calculations!I52) *'Front page'!$B$11</f>
        <v>146.20000000000002</v>
      </c>
      <c r="R52" s="31">
        <f>ROUND(I52*'Front page'!$B$9,2)</f>
        <v>0</v>
      </c>
      <c r="S52" s="30">
        <f>J52*'Front page'!$B$14</f>
        <v>11.700000000000001</v>
      </c>
      <c r="T52" s="103">
        <f>'Front page'!$B$16*Calculations!K52</f>
        <v>4.6470000000000002</v>
      </c>
      <c r="U52" s="103">
        <f>IF(settings!$B$13=0,(Calculations!M52*'District Wealth Adjustment'!M51)-Calculations!M52,0)</f>
        <v>232.35000000000036</v>
      </c>
      <c r="V52" s="185">
        <f>VLOOKUP(B52,'Remote School Building Weight'!$M$2:$P$174,3,FALSE)</f>
        <v>57.936300956463413</v>
      </c>
      <c r="W52" s="25">
        <f>'Small Dist Weight'!V51-Calculations!D52</f>
        <v>0</v>
      </c>
      <c r="X52" s="25">
        <f>IF(settings!$P$9=0,'Large District Weight'!H51*'Large District Weight'!G51,0)</f>
        <v>0</v>
      </c>
      <c r="Y52" s="25">
        <f t="shared" si="4"/>
        <v>3113.9833009564632</v>
      </c>
      <c r="Z52" s="25">
        <f>IF(settings!$F$13=0,'Teacher Exp'!L52,0)</f>
        <v>0</v>
      </c>
      <c r="AA52" s="25">
        <f t="shared" si="5"/>
        <v>3113.9833009564632</v>
      </c>
      <c r="AC52" s="26">
        <f>'Student Enrollment Data'!BU53</f>
        <v>26</v>
      </c>
      <c r="AD52" s="26">
        <f t="shared" si="6"/>
        <v>232.35000000000002</v>
      </c>
      <c r="AE52" s="26">
        <f>AD52*'Front page'!$B$16</f>
        <v>4.6470000000000002</v>
      </c>
      <c r="AG52" s="6">
        <f>M52*'Front page'!$E$3</f>
        <v>9844184.9806064516</v>
      </c>
      <c r="AH52" s="6">
        <f>N52*'Front page'!$E$3</f>
        <v>303989.78797439765</v>
      </c>
      <c r="AI52" s="6">
        <f>O52*'Front page'!$E$3</f>
        <v>250818.05502556576</v>
      </c>
      <c r="AJ52" s="6">
        <f>P52*'Front page'!$E$3</f>
        <v>875744.7968544669</v>
      </c>
      <c r="AK52" s="6">
        <f>Q52*'Front page'!$E$3</f>
        <v>619418.91291786684</v>
      </c>
      <c r="AL52" s="6">
        <f>S52*'Front page'!$E$3</f>
        <v>49570.460199309447</v>
      </c>
      <c r="AM52" s="5">
        <f>Z52*'Front page'!$E$3</f>
        <v>0</v>
      </c>
      <c r="AN52" s="6">
        <f>T52*'Front page'!$E$3</f>
        <v>19688.369961212906</v>
      </c>
      <c r="AO52" s="6">
        <f>U52*'Front page'!$E$3</f>
        <v>984418.49806064682</v>
      </c>
      <c r="AP52" s="6">
        <f>W52*'Front page'!$E$3</f>
        <v>0</v>
      </c>
      <c r="AQ52" s="6">
        <f>V52*'Front page'!$E$3</f>
        <v>245464.02569722934</v>
      </c>
      <c r="AR52" s="6">
        <f>X52*'Front page'!$E$3</f>
        <v>0</v>
      </c>
      <c r="AS52" s="6">
        <f t="shared" si="7"/>
        <v>13193297.88729715</v>
      </c>
      <c r="AT52" s="7">
        <f>IF(AS52&gt;'Funding Comparison'!D52*(1+'Front page'!$H$10),'Funding Comparison'!D52*(1+'Front page'!$H$10),AS52)</f>
        <v>13193297.88729715</v>
      </c>
    </row>
    <row r="53" spans="1:46">
      <c r="A53" t="str">
        <f t="shared" si="0"/>
        <v>231</v>
      </c>
      <c r="B53">
        <f t="shared" si="2"/>
        <v>231</v>
      </c>
      <c r="C53" s="15" t="s">
        <v>62</v>
      </c>
      <c r="D53">
        <f>IF(settings!$G$4=0,'Student Enrollment Data'!AX54,'Student Enrollment Data'!CK54)</f>
        <v>1306.5</v>
      </c>
      <c r="E53">
        <f>IF(settings!$G$4=0,'Student Enrollment Data'!AY54,'Student Enrollment Data'!CL54)</f>
        <v>359.5</v>
      </c>
      <c r="F53">
        <f>IF(settings!$G$4=0,'Student Enrollment Data'!AZ54,'Student Enrollment Data'!CM54)</f>
        <v>400</v>
      </c>
      <c r="G53" s="25">
        <f>'Student Enrollment Data'!BK54</f>
        <v>152</v>
      </c>
      <c r="H53">
        <f>'Student Enrollment Data'!BF54</f>
        <v>580.89</v>
      </c>
      <c r="I53">
        <f>SUM('Student Enrollment Data'!R54:X54,'Student Enrollment Data'!AQ54:AW54)</f>
        <v>0</v>
      </c>
      <c r="J53">
        <f>'Student Enrollment Data'!BS54</f>
        <v>196</v>
      </c>
      <c r="K53">
        <f t="shared" si="3"/>
        <v>130.65</v>
      </c>
      <c r="M53" s="30">
        <f t="shared" si="8"/>
        <v>1306.5</v>
      </c>
      <c r="N53" s="30">
        <f>E53*'Front page'!$B$20</f>
        <v>35.950000000000003</v>
      </c>
      <c r="O53" s="30">
        <f>F53*'Front page'!$B$21</f>
        <v>40</v>
      </c>
      <c r="P53">
        <f>G53*'Front page'!$B$18</f>
        <v>98.8</v>
      </c>
      <c r="Q53" s="30">
        <f>IF(settings!$B$4=0,Calculations!H53,Calculations!I53) *'Front page'!$B$11</f>
        <v>58.088999999999999</v>
      </c>
      <c r="R53" s="31">
        <f>ROUND(I53*'Front page'!$B$9,2)</f>
        <v>0</v>
      </c>
      <c r="S53" s="30">
        <f>J53*'Front page'!$B$14</f>
        <v>19.600000000000001</v>
      </c>
      <c r="T53" s="103">
        <f>'Front page'!$B$16*Calculations!K53</f>
        <v>2.613</v>
      </c>
      <c r="U53" s="103">
        <f>IF(settings!$B$13=0,(Calculations!M53*'District Wealth Adjustment'!M52)-Calculations!M53,0)</f>
        <v>130.65000000000009</v>
      </c>
      <c r="V53" s="185">
        <f>VLOOKUP(B53,'Remote School Building Weight'!$M$2:$P$174,3,FALSE)</f>
        <v>0</v>
      </c>
      <c r="W53" s="25">
        <f>'Small Dist Weight'!V52-Calculations!D53</f>
        <v>92.631724137931087</v>
      </c>
      <c r="X53" s="25">
        <f>IF(settings!$P$9=0,'Large District Weight'!H52*'Large District Weight'!G52,0)</f>
        <v>0</v>
      </c>
      <c r="Y53" s="25">
        <f t="shared" si="4"/>
        <v>1784.8337241379311</v>
      </c>
      <c r="Z53" s="25">
        <f>IF(settings!$F$13=0,'Teacher Exp'!L53,0)</f>
        <v>0</v>
      </c>
      <c r="AA53" s="25">
        <f t="shared" si="5"/>
        <v>1784.8337241379311</v>
      </c>
      <c r="AC53" s="26">
        <f>'Student Enrollment Data'!BU54</f>
        <v>72</v>
      </c>
      <c r="AD53" s="26">
        <f t="shared" si="6"/>
        <v>130.65</v>
      </c>
      <c r="AE53" s="26">
        <f>AD53*'Front page'!$B$16</f>
        <v>2.613</v>
      </c>
      <c r="AG53" s="6">
        <f>M53*'Front page'!$E$3</f>
        <v>5535368.0555895548</v>
      </c>
      <c r="AH53" s="6">
        <f>N53*'Front page'!$E$3</f>
        <v>152312.65334745083</v>
      </c>
      <c r="AI53" s="6">
        <f>O53*'Front page'!$E$3</f>
        <v>169471.65880105793</v>
      </c>
      <c r="AJ53" s="6">
        <f>P53*'Front page'!$E$3</f>
        <v>418594.99723861308</v>
      </c>
      <c r="AK53" s="6">
        <f>Q53*'Front page'!$E$3</f>
        <v>246110.97970236634</v>
      </c>
      <c r="AL53" s="6">
        <f>S53*'Front page'!$E$3</f>
        <v>83041.11281251839</v>
      </c>
      <c r="AM53" s="5">
        <f>Z53*'Front page'!$E$3</f>
        <v>0</v>
      </c>
      <c r="AN53" s="6">
        <f>T53*'Front page'!$E$3</f>
        <v>11070.736111179109</v>
      </c>
      <c r="AO53" s="6">
        <f>U53*'Front page'!$E$3</f>
        <v>553536.80555895588</v>
      </c>
      <c r="AP53" s="6">
        <f>W53*'Front page'!$E$3</f>
        <v>392461.29868142947</v>
      </c>
      <c r="AQ53" s="6">
        <f>V53*'Front page'!$E$3</f>
        <v>0</v>
      </c>
      <c r="AR53" s="6">
        <f>X53*'Front page'!$E$3</f>
        <v>0</v>
      </c>
      <c r="AS53" s="6">
        <f t="shared" si="7"/>
        <v>7561968.2978431266</v>
      </c>
      <c r="AT53" s="7">
        <f>IF(AS53&gt;'Funding Comparison'!D53*(1+'Front page'!$H$10),'Funding Comparison'!D53*(1+'Front page'!$H$10),AS53)</f>
        <v>7379682.8544999994</v>
      </c>
    </row>
    <row r="54" spans="1:46">
      <c r="A54" t="str">
        <f t="shared" si="0"/>
        <v>232</v>
      </c>
      <c r="B54">
        <f t="shared" si="2"/>
        <v>232</v>
      </c>
      <c r="C54" s="15" t="s">
        <v>63</v>
      </c>
      <c r="D54">
        <f>IF(settings!$G$4=0,'Student Enrollment Data'!AX55,'Student Enrollment Data'!CK55)</f>
        <v>1023</v>
      </c>
      <c r="E54">
        <f>IF(settings!$G$4=0,'Student Enrollment Data'!AY55,'Student Enrollment Data'!CL55)</f>
        <v>290</v>
      </c>
      <c r="F54">
        <f>IF(settings!$G$4=0,'Student Enrollment Data'!AZ55,'Student Enrollment Data'!CM55)</f>
        <v>278</v>
      </c>
      <c r="G54" s="25">
        <f>'Student Enrollment Data'!BK55</f>
        <v>129</v>
      </c>
      <c r="H54">
        <f>'Student Enrollment Data'!BF55</f>
        <v>761</v>
      </c>
      <c r="I54">
        <f>SUM('Student Enrollment Data'!R55:X55,'Student Enrollment Data'!AQ55:AW55)</f>
        <v>0</v>
      </c>
      <c r="J54">
        <f>'Student Enrollment Data'!BS55</f>
        <v>401</v>
      </c>
      <c r="K54">
        <f t="shared" si="3"/>
        <v>102.30000000000001</v>
      </c>
      <c r="M54" s="30">
        <f t="shared" si="8"/>
        <v>1023</v>
      </c>
      <c r="N54" s="30">
        <f>E54*'Front page'!$B$20</f>
        <v>29</v>
      </c>
      <c r="O54" s="30">
        <f>F54*'Front page'!$B$21</f>
        <v>27.8</v>
      </c>
      <c r="P54">
        <f>G54*'Front page'!$B$18</f>
        <v>83.850000000000009</v>
      </c>
      <c r="Q54" s="30">
        <f>IF(settings!$B$4=0,Calculations!H54,Calculations!I54) *'Front page'!$B$11</f>
        <v>76.100000000000009</v>
      </c>
      <c r="R54" s="31">
        <f>ROUND(I54*'Front page'!$B$9,2)</f>
        <v>0</v>
      </c>
      <c r="S54" s="30">
        <f>J54*'Front page'!$B$14</f>
        <v>40.1</v>
      </c>
      <c r="T54" s="103">
        <f>'Front page'!$B$16*Calculations!K54</f>
        <v>2.0460000000000003</v>
      </c>
      <c r="U54" s="103">
        <f>IF(settings!$B$13=0,(Calculations!M54*'District Wealth Adjustment'!M53)-Calculations!M54,0)</f>
        <v>102.30000000000018</v>
      </c>
      <c r="V54" s="185">
        <f>VLOOKUP(B54,'Remote School Building Weight'!$M$2:$P$174,3,FALSE)</f>
        <v>0</v>
      </c>
      <c r="W54" s="25">
        <f>'Small Dist Weight'!V53-Calculations!D54</f>
        <v>113.361379310345</v>
      </c>
      <c r="X54" s="25">
        <f>IF(settings!$P$9=0,'Large District Weight'!H53*'Large District Weight'!G53,0)</f>
        <v>0</v>
      </c>
      <c r="Y54" s="25">
        <f t="shared" si="4"/>
        <v>1497.5573793103449</v>
      </c>
      <c r="Z54" s="25">
        <f>IF(settings!$F$13=0,'Teacher Exp'!L54,0)</f>
        <v>2.1983423327293341</v>
      </c>
      <c r="AA54" s="25">
        <f t="shared" si="5"/>
        <v>1499.7557216430741</v>
      </c>
      <c r="AC54" s="26">
        <f>'Student Enrollment Data'!BU55</f>
        <v>41</v>
      </c>
      <c r="AD54" s="26">
        <f t="shared" si="6"/>
        <v>102.30000000000001</v>
      </c>
      <c r="AE54" s="26">
        <f>AD54*'Front page'!$B$16</f>
        <v>2.0460000000000003</v>
      </c>
      <c r="AG54" s="6">
        <f>M54*'Front page'!$E$3</f>
        <v>4334237.6738370564</v>
      </c>
      <c r="AH54" s="6">
        <f>N54*'Front page'!$E$3</f>
        <v>122866.952630767</v>
      </c>
      <c r="AI54" s="6">
        <f>O54*'Front page'!$E$3</f>
        <v>117782.80286673526</v>
      </c>
      <c r="AJ54" s="6">
        <f>P54*'Front page'!$E$3</f>
        <v>355254.96476171771</v>
      </c>
      <c r="AK54" s="6">
        <f>Q54*'Front page'!$E$3</f>
        <v>322419.83086901275</v>
      </c>
      <c r="AL54" s="6">
        <f>S54*'Front page'!$E$3</f>
        <v>169895.33794806057</v>
      </c>
      <c r="AM54" s="5">
        <f>Z54*'Front page'!$E$3</f>
        <v>9313.918043505686</v>
      </c>
      <c r="AN54" s="6">
        <f>T54*'Front page'!$E$3</f>
        <v>8668.4753476741134</v>
      </c>
      <c r="AO54" s="6">
        <f>U54*'Front page'!$E$3</f>
        <v>433423.76738370641</v>
      </c>
      <c r="AP54" s="6">
        <f>W54*'Front page'!$E$3</f>
        <v>480288.52489250241</v>
      </c>
      <c r="AQ54" s="6">
        <f>V54*'Front page'!$E$3</f>
        <v>0</v>
      </c>
      <c r="AR54" s="6">
        <f>X54*'Front page'!$E$3</f>
        <v>0</v>
      </c>
      <c r="AS54" s="6">
        <f t="shared" si="7"/>
        <v>6354152.248580738</v>
      </c>
      <c r="AT54" s="7">
        <f>IF(AS54&gt;'Funding Comparison'!D54*(1+'Front page'!$H$10),'Funding Comparison'!D54*(1+'Front page'!$H$10),AS54)</f>
        <v>6354152.248580738</v>
      </c>
    </row>
    <row r="55" spans="1:46">
      <c r="A55" t="str">
        <f t="shared" si="0"/>
        <v>233</v>
      </c>
      <c r="B55">
        <f t="shared" si="2"/>
        <v>233</v>
      </c>
      <c r="C55" s="15" t="s">
        <v>64</v>
      </c>
      <c r="D55">
        <f>IF(settings!$G$4=0,'Student Enrollment Data'!AX56,'Student Enrollment Data'!CK56)</f>
        <v>280.5</v>
      </c>
      <c r="E55">
        <f>IF(settings!$G$4=0,'Student Enrollment Data'!AY56,'Student Enrollment Data'!CL56)</f>
        <v>87.5</v>
      </c>
      <c r="F55">
        <f>IF(settings!$G$4=0,'Student Enrollment Data'!AZ56,'Student Enrollment Data'!CM56)</f>
        <v>65</v>
      </c>
      <c r="G55" s="25">
        <f>'Student Enrollment Data'!BK56</f>
        <v>55</v>
      </c>
      <c r="H55">
        <f>'Student Enrollment Data'!BF56</f>
        <v>177</v>
      </c>
      <c r="I55">
        <f>SUM('Student Enrollment Data'!R56:X56,'Student Enrollment Data'!AQ56:AW56)</f>
        <v>0</v>
      </c>
      <c r="J55">
        <f>'Student Enrollment Data'!BS56</f>
        <v>26</v>
      </c>
      <c r="K55">
        <f t="shared" si="3"/>
        <v>28.05</v>
      </c>
      <c r="M55" s="30">
        <f t="shared" si="8"/>
        <v>280.5</v>
      </c>
      <c r="N55" s="30">
        <f>E55*'Front page'!$B$20</f>
        <v>8.75</v>
      </c>
      <c r="O55" s="30">
        <f>F55*'Front page'!$B$21</f>
        <v>6.5</v>
      </c>
      <c r="P55">
        <f>G55*'Front page'!$B$18</f>
        <v>35.75</v>
      </c>
      <c r="Q55" s="30">
        <f>IF(settings!$B$4=0,Calculations!H55,Calculations!I55) *'Front page'!$B$11</f>
        <v>17.7</v>
      </c>
      <c r="R55" s="31">
        <f>ROUND(I55*'Front page'!$B$9,2)</f>
        <v>0</v>
      </c>
      <c r="S55" s="30">
        <f>J55*'Front page'!$B$14</f>
        <v>2.6</v>
      </c>
      <c r="T55" s="103">
        <f>'Front page'!$B$16*Calculations!K55</f>
        <v>0.56100000000000005</v>
      </c>
      <c r="U55" s="103">
        <f>IF(settings!$B$13=0,(Calculations!M55*'District Wealth Adjustment'!M54)-Calculations!M55,0)</f>
        <v>0</v>
      </c>
      <c r="V55" s="185">
        <f>VLOOKUP(B55,'Remote School Building Weight'!$M$2:$P$174,3,FALSE)</f>
        <v>0</v>
      </c>
      <c r="W55" s="25">
        <f>'Small Dist Weight'!V54-Calculations!D55</f>
        <v>136.18657719435743</v>
      </c>
      <c r="X55" s="25">
        <f>IF(settings!$P$9=0,'Large District Weight'!H54*'Large District Weight'!G54,0)</f>
        <v>0</v>
      </c>
      <c r="Y55" s="25">
        <f t="shared" si="4"/>
        <v>488.54757719435742</v>
      </c>
      <c r="Z55" s="25">
        <f>IF(settings!$F$13=0,'Teacher Exp'!L55,0)</f>
        <v>13.848721863604542</v>
      </c>
      <c r="AA55" s="25">
        <f t="shared" si="5"/>
        <v>502.39629905796198</v>
      </c>
      <c r="AC55" s="26">
        <f>'Student Enrollment Data'!BU56</f>
        <v>0</v>
      </c>
      <c r="AD55" s="26">
        <f t="shared" si="6"/>
        <v>28.05</v>
      </c>
      <c r="AE55" s="26">
        <f>AD55*'Front page'!$B$16</f>
        <v>0.56100000000000005</v>
      </c>
      <c r="AG55" s="6">
        <f>M55*'Front page'!$E$3</f>
        <v>1188420.0073424187</v>
      </c>
      <c r="AH55" s="6">
        <f>N55*'Front page'!$E$3</f>
        <v>37071.925362731425</v>
      </c>
      <c r="AI55" s="6">
        <f>O55*'Front page'!$E$3</f>
        <v>27539.144555171915</v>
      </c>
      <c r="AJ55" s="6">
        <f>P55*'Front page'!$E$3</f>
        <v>151465.29505344553</v>
      </c>
      <c r="AK55" s="6">
        <f>Q55*'Front page'!$E$3</f>
        <v>74991.209019468137</v>
      </c>
      <c r="AL55" s="6">
        <f>S55*'Front page'!$E$3</f>
        <v>11015.657822068766</v>
      </c>
      <c r="AM55" s="5">
        <f>Z55*'Front page'!$E$3</f>
        <v>58674.1466624885</v>
      </c>
      <c r="AN55" s="6">
        <f>T55*'Front page'!$E$3</f>
        <v>2376.8400146848376</v>
      </c>
      <c r="AO55" s="6">
        <f>U55*'Front page'!$E$3</f>
        <v>0</v>
      </c>
      <c r="AP55" s="6">
        <f>W55*'Front page'!$E$3</f>
        <v>576994.12858915201</v>
      </c>
      <c r="AQ55" s="6">
        <f>V55*'Front page'!$E$3</f>
        <v>0</v>
      </c>
      <c r="AR55" s="6">
        <f>X55*'Front page'!$E$3</f>
        <v>0</v>
      </c>
      <c r="AS55" s="6">
        <f t="shared" si="7"/>
        <v>2128548.35442163</v>
      </c>
      <c r="AT55" s="7">
        <f>IF(AS55&gt;'Funding Comparison'!D55*(1+'Front page'!$H$10),'Funding Comparison'!D55*(1+'Front page'!$H$10),AS55)</f>
        <v>2128548.35442163</v>
      </c>
    </row>
    <row r="56" spans="1:46">
      <c r="A56" t="str">
        <f t="shared" si="0"/>
        <v>234</v>
      </c>
      <c r="B56">
        <f t="shared" si="2"/>
        <v>234</v>
      </c>
      <c r="C56" s="15" t="s">
        <v>65</v>
      </c>
      <c r="D56">
        <f>IF(settings!$G$4=0,'Student Enrollment Data'!AX57,'Student Enrollment Data'!CK57)</f>
        <v>133</v>
      </c>
      <c r="E56">
        <f>IF(settings!$G$4=0,'Student Enrollment Data'!AY57,'Student Enrollment Data'!CL57)</f>
        <v>38</v>
      </c>
      <c r="F56">
        <f>IF(settings!$G$4=0,'Student Enrollment Data'!AZ57,'Student Enrollment Data'!CM57)</f>
        <v>35</v>
      </c>
      <c r="G56" s="25">
        <f>'Student Enrollment Data'!BK57</f>
        <v>11</v>
      </c>
      <c r="H56">
        <f>'Student Enrollment Data'!BF57</f>
        <v>107</v>
      </c>
      <c r="I56">
        <f>SUM('Student Enrollment Data'!R57:X57,'Student Enrollment Data'!AQ57:AW57)</f>
        <v>0</v>
      </c>
      <c r="J56">
        <f>'Student Enrollment Data'!BS57</f>
        <v>21</v>
      </c>
      <c r="K56">
        <f t="shared" si="3"/>
        <v>13.3</v>
      </c>
      <c r="M56" s="30">
        <f t="shared" si="8"/>
        <v>133</v>
      </c>
      <c r="N56" s="30">
        <f>E56*'Front page'!$B$20</f>
        <v>3.8000000000000003</v>
      </c>
      <c r="O56" s="30">
        <f>F56*'Front page'!$B$21</f>
        <v>3.5</v>
      </c>
      <c r="P56">
        <f>G56*'Front page'!$B$18</f>
        <v>7.15</v>
      </c>
      <c r="Q56" s="30">
        <f>IF(settings!$B$4=0,Calculations!H56,Calculations!I56) *'Front page'!$B$11</f>
        <v>10.700000000000001</v>
      </c>
      <c r="R56" s="31">
        <f>ROUND(I56*'Front page'!$B$9,2)</f>
        <v>0</v>
      </c>
      <c r="S56" s="30">
        <f>J56*'Front page'!$B$14</f>
        <v>2.1</v>
      </c>
      <c r="T56" s="103">
        <f>'Front page'!$B$16*Calculations!K56</f>
        <v>0.26600000000000001</v>
      </c>
      <c r="U56" s="103">
        <f>IF(settings!$B$13=0,(Calculations!M56*'District Wealth Adjustment'!M55)-Calculations!M56,0)</f>
        <v>0</v>
      </c>
      <c r="V56" s="185">
        <f>VLOOKUP(B56,'Remote School Building Weight'!$M$2:$P$174,3,FALSE)</f>
        <v>0</v>
      </c>
      <c r="W56" s="25">
        <f>'Small Dist Weight'!V55-Calculations!D56</f>
        <v>180.79996081504703</v>
      </c>
      <c r="X56" s="25">
        <f>IF(settings!$P$9=0,'Large District Weight'!H55*'Large District Weight'!G55,0)</f>
        <v>0</v>
      </c>
      <c r="Y56" s="25">
        <f t="shared" si="4"/>
        <v>341.31596081504699</v>
      </c>
      <c r="Z56" s="25">
        <f>IF(settings!$F$13=0,'Teacher Exp'!L56,0)</f>
        <v>3.007306910697694</v>
      </c>
      <c r="AA56" s="25">
        <f t="shared" si="5"/>
        <v>344.3232677257447</v>
      </c>
      <c r="AC56" s="26">
        <f>'Student Enrollment Data'!BU57</f>
        <v>0</v>
      </c>
      <c r="AD56" s="26">
        <f t="shared" si="6"/>
        <v>13.3</v>
      </c>
      <c r="AE56" s="26">
        <f>AD56*'Front page'!$B$16</f>
        <v>0.26600000000000001</v>
      </c>
      <c r="AG56" s="6">
        <f>M56*'Front page'!$E$3</f>
        <v>563493.26551351766</v>
      </c>
      <c r="AH56" s="6">
        <f>N56*'Front page'!$E$3</f>
        <v>16099.807586100504</v>
      </c>
      <c r="AI56" s="6">
        <f>O56*'Front page'!$E$3</f>
        <v>14828.770145092569</v>
      </c>
      <c r="AJ56" s="6">
        <f>P56*'Front page'!$E$3</f>
        <v>30293.059010689107</v>
      </c>
      <c r="AK56" s="6">
        <f>Q56*'Front page'!$E$3</f>
        <v>45333.668729283003</v>
      </c>
      <c r="AL56" s="6">
        <f>S56*'Front page'!$E$3</f>
        <v>8897.262087055542</v>
      </c>
      <c r="AM56" s="5">
        <f>Z56*'Front page'!$E$3</f>
        <v>12741.33226699558</v>
      </c>
      <c r="AN56" s="6">
        <f>T56*'Front page'!$E$3</f>
        <v>1126.9865310270352</v>
      </c>
      <c r="AO56" s="6">
        <f>U56*'Front page'!$E$3</f>
        <v>0</v>
      </c>
      <c r="AP56" s="6">
        <f>W56*'Front page'!$E$3</f>
        <v>766011.73176230735</v>
      </c>
      <c r="AQ56" s="6">
        <f>V56*'Front page'!$E$3</f>
        <v>0</v>
      </c>
      <c r="AR56" s="6">
        <f>X56*'Front page'!$E$3</f>
        <v>0</v>
      </c>
      <c r="AS56" s="6">
        <f t="shared" si="7"/>
        <v>1458825.8836320685</v>
      </c>
      <c r="AT56" s="7">
        <f>IF(AS56&gt;'Funding Comparison'!D56*(1+'Front page'!$H$10),'Funding Comparison'!D56*(1+'Front page'!$H$10),AS56)</f>
        <v>1458825.8836320685</v>
      </c>
    </row>
    <row r="57" spans="1:46">
      <c r="A57" t="str">
        <f t="shared" si="0"/>
        <v>242</v>
      </c>
      <c r="B57">
        <f t="shared" si="2"/>
        <v>242</v>
      </c>
      <c r="C57" s="15" t="s">
        <v>66</v>
      </c>
      <c r="D57">
        <f>IF(settings!$G$4=0,'Student Enrollment Data'!AX58,'Student Enrollment Data'!CK58)</f>
        <v>369</v>
      </c>
      <c r="E57">
        <f>IF(settings!$G$4=0,'Student Enrollment Data'!AY58,'Student Enrollment Data'!CL58)</f>
        <v>95</v>
      </c>
      <c r="F57">
        <f>IF(settings!$G$4=0,'Student Enrollment Data'!AZ58,'Student Enrollment Data'!CM58)</f>
        <v>131</v>
      </c>
      <c r="G57" s="25">
        <f>'Student Enrollment Data'!BK58</f>
        <v>22</v>
      </c>
      <c r="H57">
        <f>'Student Enrollment Data'!BF58</f>
        <v>135</v>
      </c>
      <c r="I57">
        <f>SUM('Student Enrollment Data'!R58:X58,'Student Enrollment Data'!AQ58:AW58)</f>
        <v>0</v>
      </c>
      <c r="J57">
        <f>'Student Enrollment Data'!BS58</f>
        <v>0</v>
      </c>
      <c r="K57">
        <f t="shared" si="3"/>
        <v>36.9</v>
      </c>
      <c r="M57" s="30">
        <f t="shared" si="8"/>
        <v>369</v>
      </c>
      <c r="N57" s="30">
        <f>E57*'Front page'!$B$20</f>
        <v>9.5</v>
      </c>
      <c r="O57" s="30">
        <f>F57*'Front page'!$B$21</f>
        <v>13.100000000000001</v>
      </c>
      <c r="P57">
        <f>G57*'Front page'!$B$18</f>
        <v>14.3</v>
      </c>
      <c r="Q57" s="30">
        <f>IF(settings!$B$4=0,Calculations!H57,Calculations!I57) *'Front page'!$B$11</f>
        <v>13.5</v>
      </c>
      <c r="R57" s="31">
        <f>ROUND(I57*'Front page'!$B$9,2)</f>
        <v>0</v>
      </c>
      <c r="S57" s="30">
        <f>J57*'Front page'!$B$14</f>
        <v>0</v>
      </c>
      <c r="T57" s="103">
        <f>'Front page'!$B$16*Calculations!K57</f>
        <v>0.73799999999999999</v>
      </c>
      <c r="U57" s="103">
        <f>IF(settings!$B$13=0,(Calculations!M57*'District Wealth Adjustment'!M56)-Calculations!M57,0)</f>
        <v>36.900000000000034</v>
      </c>
      <c r="V57" s="185">
        <f>VLOOKUP(B57,'Remote School Building Weight'!$M$2:$P$174,3,FALSE)</f>
        <v>0</v>
      </c>
      <c r="W57" s="25">
        <f>'Small Dist Weight'!V56-Calculations!D57</f>
        <v>170.28273510971781</v>
      </c>
      <c r="X57" s="25">
        <f>IF(settings!$P$9=0,'Large District Weight'!H56*'Large District Weight'!G56,0)</f>
        <v>0</v>
      </c>
      <c r="Y57" s="25">
        <f t="shared" si="4"/>
        <v>627.32073510971782</v>
      </c>
      <c r="Z57" s="25">
        <f>IF(settings!$F$13=0,'Teacher Exp'!L57,0)</f>
        <v>23.061819720175002</v>
      </c>
      <c r="AA57" s="25">
        <f t="shared" si="5"/>
        <v>650.3825548298928</v>
      </c>
      <c r="AC57" s="26">
        <f>'Student Enrollment Data'!BU58</f>
        <v>0</v>
      </c>
      <c r="AD57" s="26">
        <f t="shared" si="6"/>
        <v>36.9</v>
      </c>
      <c r="AE57" s="26">
        <f>AD57*'Front page'!$B$16</f>
        <v>0.73799999999999999</v>
      </c>
      <c r="AG57" s="6">
        <f>M57*'Front page'!$E$3</f>
        <v>1563376.0524397595</v>
      </c>
      <c r="AH57" s="6">
        <f>N57*'Front page'!$E$3</f>
        <v>40249.518965251256</v>
      </c>
      <c r="AI57" s="6">
        <f>O57*'Front page'!$E$3</f>
        <v>55501.968257346474</v>
      </c>
      <c r="AJ57" s="6">
        <f>P57*'Front page'!$E$3</f>
        <v>60586.118021378214</v>
      </c>
      <c r="AK57" s="6">
        <f>Q57*'Front page'!$E$3</f>
        <v>57196.684845357049</v>
      </c>
      <c r="AL57" s="6">
        <f>S57*'Front page'!$E$3</f>
        <v>0</v>
      </c>
      <c r="AM57" s="5">
        <f>Z57*'Front page'!$E$3</f>
        <v>97708.121073725182</v>
      </c>
      <c r="AN57" s="6">
        <f>T57*'Front page'!$E$3</f>
        <v>3126.7521048795188</v>
      </c>
      <c r="AO57" s="6">
        <f>U57*'Front page'!$E$3</f>
        <v>156337.60524397608</v>
      </c>
      <c r="AP57" s="6">
        <f>W57*'Front page'!$E$3</f>
        <v>721452.43960562558</v>
      </c>
      <c r="AQ57" s="6">
        <f>V57*'Front page'!$E$3</f>
        <v>0</v>
      </c>
      <c r="AR57" s="6">
        <f>X57*'Front page'!$E$3</f>
        <v>0</v>
      </c>
      <c r="AS57" s="6">
        <f t="shared" si="7"/>
        <v>2755535.2605572985</v>
      </c>
      <c r="AT57" s="7">
        <f>IF(AS57&gt;'Funding Comparison'!D57*(1+'Front page'!$H$10),'Funding Comparison'!D57*(1+'Front page'!$H$10),AS57)</f>
        <v>2755535.2605572985</v>
      </c>
    </row>
    <row r="58" spans="1:46">
      <c r="A58" t="str">
        <f t="shared" si="0"/>
        <v>243</v>
      </c>
      <c r="B58">
        <f t="shared" si="2"/>
        <v>243</v>
      </c>
      <c r="C58" s="15" t="s">
        <v>67</v>
      </c>
      <c r="D58">
        <f>IF(settings!$G$4=0,'Student Enrollment Data'!AX59,'Student Enrollment Data'!CK59)</f>
        <v>114.5</v>
      </c>
      <c r="E58">
        <f>IF(settings!$G$4=0,'Student Enrollment Data'!AY59,'Student Enrollment Data'!CL59)</f>
        <v>36.5</v>
      </c>
      <c r="F58">
        <f>IF(settings!$G$4=0,'Student Enrollment Data'!AZ59,'Student Enrollment Data'!CM59)</f>
        <v>40</v>
      </c>
      <c r="G58" s="25">
        <f>'Student Enrollment Data'!BK59</f>
        <v>15</v>
      </c>
      <c r="H58">
        <f>'Student Enrollment Data'!BF59</f>
        <v>52</v>
      </c>
      <c r="I58">
        <f>SUM('Student Enrollment Data'!R59:X59,'Student Enrollment Data'!AQ59:AW59)</f>
        <v>0</v>
      </c>
      <c r="J58">
        <f>'Student Enrollment Data'!BS59</f>
        <v>0</v>
      </c>
      <c r="K58">
        <f t="shared" si="3"/>
        <v>11.450000000000001</v>
      </c>
      <c r="M58" s="30">
        <f t="shared" si="8"/>
        <v>114.5</v>
      </c>
      <c r="N58" s="30">
        <f>E58*'Front page'!$B$20</f>
        <v>3.6500000000000004</v>
      </c>
      <c r="O58" s="30">
        <f>F58*'Front page'!$B$21</f>
        <v>4</v>
      </c>
      <c r="P58">
        <f>G58*'Front page'!$B$18</f>
        <v>9.75</v>
      </c>
      <c r="Q58" s="30">
        <f>IF(settings!$B$4=0,Calculations!H58,Calculations!I58) *'Front page'!$B$11</f>
        <v>5.2</v>
      </c>
      <c r="R58" s="31">
        <f>ROUND(I58*'Front page'!$B$9,2)</f>
        <v>0</v>
      </c>
      <c r="S58" s="30">
        <f>J58*'Front page'!$B$14</f>
        <v>0</v>
      </c>
      <c r="T58" s="103">
        <f>'Front page'!$B$16*Calculations!K58</f>
        <v>0.22900000000000004</v>
      </c>
      <c r="U58" s="103">
        <f>IF(settings!$B$13=0,(Calculations!M58*'District Wealth Adjustment'!M57)-Calculations!M58,0)</f>
        <v>0</v>
      </c>
      <c r="V58" s="185">
        <f>VLOOKUP(B58,'Remote School Building Weight'!$M$2:$P$174,3,FALSE)</f>
        <v>0</v>
      </c>
      <c r="W58" s="25">
        <f>'Small Dist Weight'!V57-Calculations!D58</f>
        <v>175.98808581504704</v>
      </c>
      <c r="X58" s="25">
        <f>IF(settings!$P$9=0,'Large District Weight'!H57*'Large District Weight'!G57,0)</f>
        <v>0</v>
      </c>
      <c r="Y58" s="25">
        <f t="shared" si="4"/>
        <v>313.31708581504705</v>
      </c>
      <c r="Z58" s="25">
        <f>IF(settings!$F$13=0,'Teacher Exp'!L58,0)</f>
        <v>0</v>
      </c>
      <c r="AA58" s="25">
        <f t="shared" si="5"/>
        <v>313.31708581504705</v>
      </c>
      <c r="AC58" s="26">
        <f>'Student Enrollment Data'!BU59</f>
        <v>0</v>
      </c>
      <c r="AD58" s="26">
        <f t="shared" si="6"/>
        <v>11.450000000000001</v>
      </c>
      <c r="AE58" s="26">
        <f>AD58*'Front page'!$B$16</f>
        <v>0.22900000000000004</v>
      </c>
      <c r="AG58" s="6">
        <f>M58*'Front page'!$E$3</f>
        <v>485112.62331802835</v>
      </c>
      <c r="AH58" s="6">
        <f>N58*'Front page'!$E$3</f>
        <v>15464.288865596538</v>
      </c>
      <c r="AI58" s="6">
        <f>O58*'Front page'!$E$3</f>
        <v>16947.165880105793</v>
      </c>
      <c r="AJ58" s="6">
        <f>P58*'Front page'!$E$3</f>
        <v>41308.716832757869</v>
      </c>
      <c r="AK58" s="6">
        <f>Q58*'Front page'!$E$3</f>
        <v>22031.315644137532</v>
      </c>
      <c r="AL58" s="6">
        <f>S58*'Front page'!$E$3</f>
        <v>0</v>
      </c>
      <c r="AM58" s="5">
        <f>Z58*'Front page'!$E$3</f>
        <v>0</v>
      </c>
      <c r="AN58" s="6">
        <f>T58*'Front page'!$E$3</f>
        <v>970.2252466360568</v>
      </c>
      <c r="AO58" s="6">
        <f>U58*'Front page'!$E$3</f>
        <v>0</v>
      </c>
      <c r="AP58" s="6">
        <f>W58*'Front page'!$E$3</f>
        <v>745624.82080747385</v>
      </c>
      <c r="AQ58" s="6">
        <f>V58*'Front page'!$E$3</f>
        <v>0</v>
      </c>
      <c r="AR58" s="6">
        <f>X58*'Front page'!$E$3</f>
        <v>0</v>
      </c>
      <c r="AS58" s="6">
        <f t="shared" si="7"/>
        <v>1327459.156594736</v>
      </c>
      <c r="AT58" s="7">
        <f>IF(AS58&gt;'Funding Comparison'!D58*(1+'Front page'!$H$10),'Funding Comparison'!D58*(1+'Front page'!$H$10),AS58)</f>
        <v>1327459.156594736</v>
      </c>
    </row>
    <row r="59" spans="1:46">
      <c r="A59" t="str">
        <f t="shared" si="0"/>
        <v>244</v>
      </c>
      <c r="B59">
        <f t="shared" si="2"/>
        <v>244</v>
      </c>
      <c r="C59" s="15" t="s">
        <v>68</v>
      </c>
      <c r="D59">
        <f>IF(settings!$G$4=0,'Student Enrollment Data'!AX60,'Student Enrollment Data'!CK60)</f>
        <v>1200</v>
      </c>
      <c r="E59">
        <f>IF(settings!$G$4=0,'Student Enrollment Data'!AY60,'Student Enrollment Data'!CL60)</f>
        <v>330</v>
      </c>
      <c r="F59">
        <f>IF(settings!$G$4=0,'Student Enrollment Data'!AZ60,'Student Enrollment Data'!CM60)</f>
        <v>385</v>
      </c>
      <c r="G59" s="25">
        <f>'Student Enrollment Data'!BK60</f>
        <v>157</v>
      </c>
      <c r="H59">
        <f>'Student Enrollment Data'!BF60</f>
        <v>532</v>
      </c>
      <c r="I59">
        <f>SUM('Student Enrollment Data'!R60:X60,'Student Enrollment Data'!AQ60:AW60)</f>
        <v>0</v>
      </c>
      <c r="J59">
        <f>'Student Enrollment Data'!BS60</f>
        <v>100.79067576424836</v>
      </c>
      <c r="K59">
        <f t="shared" si="3"/>
        <v>120</v>
      </c>
      <c r="M59" s="30">
        <f t="shared" si="8"/>
        <v>1200</v>
      </c>
      <c r="N59" s="30">
        <f>E59*'Front page'!$B$20</f>
        <v>33</v>
      </c>
      <c r="O59" s="30">
        <f>F59*'Front page'!$B$21</f>
        <v>38.5</v>
      </c>
      <c r="P59">
        <f>G59*'Front page'!$B$18</f>
        <v>102.05</v>
      </c>
      <c r="Q59" s="30">
        <f>IF(settings!$B$4=0,Calculations!H59,Calculations!I59) *'Front page'!$B$11</f>
        <v>53.2</v>
      </c>
      <c r="R59" s="31">
        <f>ROUND(I59*'Front page'!$B$9,2)</f>
        <v>0</v>
      </c>
      <c r="S59" s="30">
        <f>J59*'Front page'!$B$14</f>
        <v>10.079067576424837</v>
      </c>
      <c r="T59" s="103">
        <f>'Front page'!$B$16*Calculations!K59</f>
        <v>2.4</v>
      </c>
      <c r="U59" s="103">
        <f>IF(settings!$B$13=0,(Calculations!M59*'District Wealth Adjustment'!M58)-Calculations!M59,0)</f>
        <v>0</v>
      </c>
      <c r="V59" s="185">
        <f>VLOOKUP(B59,'Remote School Building Weight'!$M$2:$P$174,3,FALSE)</f>
        <v>84.905177216791515</v>
      </c>
      <c r="W59" s="25">
        <f>'Small Dist Weight'!V58-Calculations!D59</f>
        <v>102.69543103448268</v>
      </c>
      <c r="X59" s="25">
        <f>IF(settings!$P$9=0,'Large District Weight'!H58*'Large District Weight'!G58,0)</f>
        <v>0</v>
      </c>
      <c r="Y59" s="25">
        <f t="shared" si="4"/>
        <v>1626.8296758276992</v>
      </c>
      <c r="Z59" s="25">
        <f>IF(settings!$F$13=0,'Teacher Exp'!L59,0)</f>
        <v>0</v>
      </c>
      <c r="AA59" s="25">
        <f t="shared" si="5"/>
        <v>1626.8296758276992</v>
      </c>
      <c r="AC59" s="26">
        <f>'Student Enrollment Data'!BU60</f>
        <v>0</v>
      </c>
      <c r="AD59" s="26">
        <f t="shared" si="6"/>
        <v>120</v>
      </c>
      <c r="AE59" s="26">
        <f>AD59*'Front page'!$B$16</f>
        <v>2.4</v>
      </c>
      <c r="AG59" s="6">
        <f>M59*'Front page'!$E$3</f>
        <v>5084149.764031738</v>
      </c>
      <c r="AH59" s="6">
        <f>N59*'Front page'!$E$3</f>
        <v>139814.1185108728</v>
      </c>
      <c r="AI59" s="6">
        <f>O59*'Front page'!$E$3</f>
        <v>163116.47159601827</v>
      </c>
      <c r="AJ59" s="6">
        <f>P59*'Front page'!$E$3</f>
        <v>432364.569516199</v>
      </c>
      <c r="AK59" s="6">
        <f>Q59*'Front page'!$E$3</f>
        <v>225397.30620540705</v>
      </c>
      <c r="AL59" s="6">
        <f>S59*'Front page'!$E$3</f>
        <v>42702.907533616897</v>
      </c>
      <c r="AM59" s="5">
        <f>Z59*'Front page'!$E$3</f>
        <v>0</v>
      </c>
      <c r="AN59" s="6">
        <f>T59*'Front page'!$E$3</f>
        <v>10168.299528063475</v>
      </c>
      <c r="AO59" s="6">
        <f>U59*'Front page'!$E$3</f>
        <v>0</v>
      </c>
      <c r="AP59" s="6">
        <f>W59*'Front page'!$E$3</f>
        <v>435099.12621758558</v>
      </c>
      <c r="AQ59" s="6">
        <f>V59*'Front page'!$E$3</f>
        <v>359725.53059318621</v>
      </c>
      <c r="AR59" s="6">
        <f>X59*'Front page'!$E$3</f>
        <v>0</v>
      </c>
      <c r="AS59" s="6">
        <f t="shared" si="7"/>
        <v>6892538.0937326876</v>
      </c>
      <c r="AT59" s="7">
        <f>IF(AS59&gt;'Funding Comparison'!D59*(1+'Front page'!$H$10),'Funding Comparison'!D59*(1+'Front page'!$H$10),AS59)</f>
        <v>6892538.0937326876</v>
      </c>
    </row>
    <row r="60" spans="1:46">
      <c r="A60" t="str">
        <f t="shared" si="0"/>
        <v>251</v>
      </c>
      <c r="B60">
        <f t="shared" si="2"/>
        <v>251</v>
      </c>
      <c r="C60" s="15" t="s">
        <v>69</v>
      </c>
      <c r="D60">
        <f>IF(settings!$G$4=0,'Student Enrollment Data'!AX61,'Student Enrollment Data'!CK61)</f>
        <v>5819.5</v>
      </c>
      <c r="E60">
        <f>IF(settings!$G$4=0,'Student Enrollment Data'!AY61,'Student Enrollment Data'!CL61)</f>
        <v>1663.5</v>
      </c>
      <c r="F60">
        <f>IF(settings!$G$4=0,'Student Enrollment Data'!AZ61,'Student Enrollment Data'!CM61)</f>
        <v>1661</v>
      </c>
      <c r="G60" s="25">
        <f>'Student Enrollment Data'!BK61</f>
        <v>487</v>
      </c>
      <c r="H60">
        <f>'Student Enrollment Data'!BF61</f>
        <v>2163</v>
      </c>
      <c r="I60">
        <f>SUM('Student Enrollment Data'!R61:X61,'Student Enrollment Data'!AQ61:AW61)</f>
        <v>108.88812323062565</v>
      </c>
      <c r="J60">
        <f>'Student Enrollment Data'!BS61</f>
        <v>321</v>
      </c>
      <c r="K60">
        <f t="shared" si="3"/>
        <v>581.95000000000005</v>
      </c>
      <c r="M60" s="30">
        <f t="shared" si="8"/>
        <v>5819.5</v>
      </c>
      <c r="N60" s="30">
        <f>E60*'Front page'!$B$20</f>
        <v>166.35000000000002</v>
      </c>
      <c r="O60" s="30">
        <f>F60*'Front page'!$B$21</f>
        <v>166.10000000000002</v>
      </c>
      <c r="P60">
        <f>G60*'Front page'!$B$18</f>
        <v>316.55</v>
      </c>
      <c r="Q60" s="30">
        <f>IF(settings!$B$4=0,Calculations!H60,Calculations!I60) *'Front page'!$B$11</f>
        <v>216.3</v>
      </c>
      <c r="R60" s="31">
        <f>ROUND(I60*'Front page'!$B$9,2)</f>
        <v>0</v>
      </c>
      <c r="S60" s="30">
        <f>J60*'Front page'!$B$14</f>
        <v>32.1</v>
      </c>
      <c r="T60" s="103">
        <f>'Front page'!$B$16*Calculations!K60</f>
        <v>11.639000000000001</v>
      </c>
      <c r="U60" s="103">
        <f>IF(settings!$B$13=0,(Calculations!M60*'District Wealth Adjustment'!M59)-Calculations!M60,0)</f>
        <v>581.95000000000073</v>
      </c>
      <c r="V60" s="185">
        <f>VLOOKUP(B60,'Remote School Building Weight'!$M$2:$P$174,3,FALSE)</f>
        <v>0</v>
      </c>
      <c r="W60" s="25">
        <f>'Small Dist Weight'!V59-Calculations!D60</f>
        <v>0</v>
      </c>
      <c r="X60" s="25">
        <f>IF(settings!$P$9=0,'Large District Weight'!H59*'Large District Weight'!G59,0)</f>
        <v>0</v>
      </c>
      <c r="Y60" s="25">
        <f t="shared" si="4"/>
        <v>7310.4890000000023</v>
      </c>
      <c r="Z60" s="25">
        <f>IF(settings!$F$13=0,'Teacher Exp'!L60,0)</f>
        <v>0</v>
      </c>
      <c r="AA60" s="25">
        <f t="shared" si="5"/>
        <v>7310.4890000000023</v>
      </c>
      <c r="AC60" s="26">
        <f>'Student Enrollment Data'!BU61</f>
        <v>175</v>
      </c>
      <c r="AD60" s="26">
        <f t="shared" si="6"/>
        <v>581.95000000000005</v>
      </c>
      <c r="AE60" s="26">
        <f>AD60*'Front page'!$B$16</f>
        <v>11.639000000000001</v>
      </c>
      <c r="AG60" s="6">
        <f>M60*'Front page'!$E$3</f>
        <v>24656007.959818915</v>
      </c>
      <c r="AH60" s="6">
        <f>N60*'Front page'!$E$3</f>
        <v>704790.26103889977</v>
      </c>
      <c r="AI60" s="6">
        <f>O60*'Front page'!$E$3</f>
        <v>703731.06317139312</v>
      </c>
      <c r="AJ60" s="6">
        <f>P60*'Front page'!$E$3</f>
        <v>1341156.3398368722</v>
      </c>
      <c r="AK60" s="6">
        <f>Q60*'Front page'!$E$3</f>
        <v>916417.99496672081</v>
      </c>
      <c r="AL60" s="6">
        <f>S60*'Front page'!$E$3</f>
        <v>136001.00618784898</v>
      </c>
      <c r="AM60" s="5">
        <f>Z60*'Front page'!$E$3</f>
        <v>0</v>
      </c>
      <c r="AN60" s="6">
        <f>T60*'Front page'!$E$3</f>
        <v>49312.015919637837</v>
      </c>
      <c r="AO60" s="6">
        <f>U60*'Front page'!$E$3</f>
        <v>2465600.7959818947</v>
      </c>
      <c r="AP60" s="6">
        <f>W60*'Front page'!$E$3</f>
        <v>0</v>
      </c>
      <c r="AQ60" s="6">
        <f>V60*'Front page'!$E$3</f>
        <v>0</v>
      </c>
      <c r="AR60" s="6">
        <f>X60*'Front page'!$E$3</f>
        <v>0</v>
      </c>
      <c r="AS60" s="6">
        <f t="shared" si="7"/>
        <v>30973017.436922181</v>
      </c>
      <c r="AT60" s="7">
        <f>IF(AS60&gt;'Funding Comparison'!D60*(1+'Front page'!$H$10),'Funding Comparison'!D60*(1+'Front page'!$H$10),AS60)</f>
        <v>29556464.896249998</v>
      </c>
    </row>
    <row r="61" spans="1:46">
      <c r="A61" t="str">
        <f t="shared" si="0"/>
        <v>252</v>
      </c>
      <c r="B61">
        <f t="shared" si="2"/>
        <v>252</v>
      </c>
      <c r="C61" s="15" t="s">
        <v>70</v>
      </c>
      <c r="D61">
        <f>IF(settings!$G$4=0,'Student Enrollment Data'!AX62,'Student Enrollment Data'!CK62)</f>
        <v>675.5</v>
      </c>
      <c r="E61">
        <f>IF(settings!$G$4=0,'Student Enrollment Data'!AY62,'Student Enrollment Data'!CL62)</f>
        <v>154.5</v>
      </c>
      <c r="F61">
        <f>IF(settings!$G$4=0,'Student Enrollment Data'!AZ62,'Student Enrollment Data'!CM62)</f>
        <v>252</v>
      </c>
      <c r="G61" s="25">
        <f>'Student Enrollment Data'!BK62</f>
        <v>73</v>
      </c>
      <c r="H61">
        <f>'Student Enrollment Data'!BF62</f>
        <v>290</v>
      </c>
      <c r="I61">
        <f>SUM('Student Enrollment Data'!R62:X62,'Student Enrollment Data'!AQ62:AW62)</f>
        <v>0</v>
      </c>
      <c r="J61">
        <f>'Student Enrollment Data'!BS62</f>
        <v>19</v>
      </c>
      <c r="K61">
        <f t="shared" si="3"/>
        <v>67.55</v>
      </c>
      <c r="M61" s="30">
        <f t="shared" si="8"/>
        <v>675.5</v>
      </c>
      <c r="N61" s="30">
        <f>E61*'Front page'!$B$20</f>
        <v>15.450000000000001</v>
      </c>
      <c r="O61" s="30">
        <f>F61*'Front page'!$B$21</f>
        <v>25.200000000000003</v>
      </c>
      <c r="P61">
        <f>G61*'Front page'!$B$18</f>
        <v>47.45</v>
      </c>
      <c r="Q61" s="30">
        <f>IF(settings!$B$4=0,Calculations!H61,Calculations!I61) *'Front page'!$B$11</f>
        <v>29</v>
      </c>
      <c r="R61" s="31">
        <f>ROUND(I61*'Front page'!$B$9,2)</f>
        <v>0</v>
      </c>
      <c r="S61" s="30">
        <f>J61*'Front page'!$B$14</f>
        <v>1.9000000000000001</v>
      </c>
      <c r="T61" s="103">
        <f>'Front page'!$B$16*Calculations!K61</f>
        <v>1.351</v>
      </c>
      <c r="U61" s="103">
        <f>IF(settings!$B$13=0,(Calculations!M61*'District Wealth Adjustment'!M60)-Calculations!M61,0)</f>
        <v>67.550000000000068</v>
      </c>
      <c r="V61" s="185">
        <f>VLOOKUP(B61,'Remote School Building Weight'!$M$2:$P$174,3,FALSE)</f>
        <v>0</v>
      </c>
      <c r="W61" s="25">
        <f>'Small Dist Weight'!V60-Calculations!D61</f>
        <v>150.87933581504717</v>
      </c>
      <c r="X61" s="25">
        <f>IF(settings!$P$9=0,'Large District Weight'!H60*'Large District Weight'!G60,0)</f>
        <v>0</v>
      </c>
      <c r="Y61" s="25">
        <f t="shared" si="4"/>
        <v>1014.2803358150474</v>
      </c>
      <c r="Z61" s="25">
        <f>IF(settings!$F$13=0,'Teacher Exp'!L61,0)</f>
        <v>0</v>
      </c>
      <c r="AA61" s="25">
        <f t="shared" si="5"/>
        <v>1014.2803358150474</v>
      </c>
      <c r="AC61" s="26">
        <f>'Student Enrollment Data'!BU62</f>
        <v>0</v>
      </c>
      <c r="AD61" s="26">
        <f t="shared" si="6"/>
        <v>67.55</v>
      </c>
      <c r="AE61" s="26">
        <f>AD61*'Front page'!$B$16</f>
        <v>1.351</v>
      </c>
      <c r="AG61" s="6">
        <f>M61*'Front page'!$E$3</f>
        <v>2861952.6380028659</v>
      </c>
      <c r="AH61" s="6">
        <f>N61*'Front page'!$E$3</f>
        <v>65458.428211908627</v>
      </c>
      <c r="AI61" s="6">
        <f>O61*'Front page'!$E$3</f>
        <v>106767.14504466651</v>
      </c>
      <c r="AJ61" s="6">
        <f>P61*'Front page'!$E$3</f>
        <v>201035.75525275499</v>
      </c>
      <c r="AK61" s="6">
        <f>Q61*'Front page'!$E$3</f>
        <v>122866.952630767</v>
      </c>
      <c r="AL61" s="6">
        <f>S61*'Front page'!$E$3</f>
        <v>8049.9037930502518</v>
      </c>
      <c r="AM61" s="5">
        <f>Z61*'Front page'!$E$3</f>
        <v>0</v>
      </c>
      <c r="AN61" s="6">
        <f>T61*'Front page'!$E$3</f>
        <v>5723.9052760057311</v>
      </c>
      <c r="AO61" s="6">
        <f>U61*'Front page'!$E$3</f>
        <v>286195.26380028686</v>
      </c>
      <c r="AP61" s="6">
        <f>W61*'Front page'!$E$3</f>
        <v>639244.28298444778</v>
      </c>
      <c r="AQ61" s="6">
        <f>V61*'Front page'!$E$3</f>
        <v>0</v>
      </c>
      <c r="AR61" s="6">
        <f>X61*'Front page'!$E$3</f>
        <v>0</v>
      </c>
      <c r="AS61" s="6">
        <f t="shared" si="7"/>
        <v>4297294.2749967538</v>
      </c>
      <c r="AT61" s="7">
        <f>IF(AS61&gt;'Funding Comparison'!D61*(1+'Front page'!$H$10),'Funding Comparison'!D61*(1+'Front page'!$H$10),AS61)</f>
        <v>4297294.2749967538</v>
      </c>
    </row>
    <row r="62" spans="1:46">
      <c r="A62" t="str">
        <f t="shared" si="0"/>
        <v>253</v>
      </c>
      <c r="B62">
        <f t="shared" si="2"/>
        <v>253</v>
      </c>
      <c r="C62" s="15" t="s">
        <v>71</v>
      </c>
      <c r="D62">
        <f>IF(settings!$G$4=0,'Student Enrollment Data'!AX63,'Student Enrollment Data'!CK63)</f>
        <v>576</v>
      </c>
      <c r="E62">
        <f>IF(settings!$G$4=0,'Student Enrollment Data'!AY63,'Student Enrollment Data'!CL63)</f>
        <v>133</v>
      </c>
      <c r="F62">
        <f>IF(settings!$G$4=0,'Student Enrollment Data'!AZ63,'Student Enrollment Data'!CM63)</f>
        <v>212</v>
      </c>
      <c r="G62" s="25">
        <f>'Student Enrollment Data'!BK63</f>
        <v>32</v>
      </c>
      <c r="H62">
        <f>'Student Enrollment Data'!BF63</f>
        <v>265</v>
      </c>
      <c r="I62">
        <f>SUM('Student Enrollment Data'!R63:X63,'Student Enrollment Data'!AQ63:AW63)</f>
        <v>0</v>
      </c>
      <c r="J62">
        <f>'Student Enrollment Data'!BS63</f>
        <v>97</v>
      </c>
      <c r="K62">
        <f t="shared" si="3"/>
        <v>57.6</v>
      </c>
      <c r="M62" s="30">
        <f t="shared" si="8"/>
        <v>576</v>
      </c>
      <c r="N62" s="30">
        <f>E62*'Front page'!$B$20</f>
        <v>13.3</v>
      </c>
      <c r="O62" s="30">
        <f>F62*'Front page'!$B$21</f>
        <v>21.200000000000003</v>
      </c>
      <c r="P62">
        <f>G62*'Front page'!$B$18</f>
        <v>20.8</v>
      </c>
      <c r="Q62" s="30">
        <f>IF(settings!$B$4=0,Calculations!H62,Calculations!I62) *'Front page'!$B$11</f>
        <v>26.5</v>
      </c>
      <c r="R62" s="31">
        <f>ROUND(I62*'Front page'!$B$9,2)</f>
        <v>0</v>
      </c>
      <c r="S62" s="30">
        <f>J62*'Front page'!$B$14</f>
        <v>9.7000000000000011</v>
      </c>
      <c r="T62" s="103">
        <f>'Front page'!$B$16*Calculations!K62</f>
        <v>1.1520000000000001</v>
      </c>
      <c r="U62" s="103">
        <f>IF(settings!$B$13=0,(Calculations!M62*'District Wealth Adjustment'!M61)-Calculations!M62,0)</f>
        <v>57.600000000000023</v>
      </c>
      <c r="V62" s="185">
        <f>VLOOKUP(B62,'Remote School Building Weight'!$M$2:$P$174,3,FALSE)</f>
        <v>30.209249744037042</v>
      </c>
      <c r="W62" s="25">
        <f>'Small Dist Weight'!V61-Calculations!D62</f>
        <v>177.83203761755499</v>
      </c>
      <c r="X62" s="25">
        <f>IF(settings!$P$9=0,'Large District Weight'!H61*'Large District Weight'!G61,0)</f>
        <v>0</v>
      </c>
      <c r="Y62" s="25">
        <f t="shared" si="4"/>
        <v>934.29328736159209</v>
      </c>
      <c r="Z62" s="25">
        <f>IF(settings!$F$13=0,'Teacher Exp'!L62,0)</f>
        <v>0</v>
      </c>
      <c r="AA62" s="25">
        <f t="shared" si="5"/>
        <v>934.29328736159209</v>
      </c>
      <c r="AC62" s="26">
        <f>'Student Enrollment Data'!BU63</f>
        <v>30</v>
      </c>
      <c r="AD62" s="26">
        <f t="shared" si="6"/>
        <v>57.6</v>
      </c>
      <c r="AE62" s="26">
        <f>AD62*'Front page'!$B$16</f>
        <v>1.1520000000000001</v>
      </c>
      <c r="AG62" s="6">
        <f>M62*'Front page'!$E$3</f>
        <v>2440391.8867352344</v>
      </c>
      <c r="AH62" s="6">
        <f>N62*'Front page'!$E$3</f>
        <v>56349.326551351762</v>
      </c>
      <c r="AI62" s="6">
        <f>O62*'Front page'!$E$3</f>
        <v>89819.979164560718</v>
      </c>
      <c r="AJ62" s="6">
        <f>P62*'Front page'!$E$3</f>
        <v>88125.262576550129</v>
      </c>
      <c r="AK62" s="6">
        <f>Q62*'Front page'!$E$3</f>
        <v>112274.97395570087</v>
      </c>
      <c r="AL62" s="6">
        <f>S62*'Front page'!$E$3</f>
        <v>41096.877259256551</v>
      </c>
      <c r="AM62" s="5">
        <f>Z62*'Front page'!$E$3</f>
        <v>0</v>
      </c>
      <c r="AN62" s="6">
        <f>T62*'Front page'!$E$3</f>
        <v>4880.783773470469</v>
      </c>
      <c r="AO62" s="6">
        <f>U62*'Front page'!$E$3</f>
        <v>244039.18867352352</v>
      </c>
      <c r="AP62" s="6">
        <f>W62*'Front page'!$E$3</f>
        <v>753437.2600754794</v>
      </c>
      <c r="AQ62" s="6">
        <f>V62*'Front page'!$E$3</f>
        <v>127990.2916314348</v>
      </c>
      <c r="AR62" s="6">
        <f>X62*'Front page'!$E$3</f>
        <v>0</v>
      </c>
      <c r="AS62" s="6">
        <f t="shared" si="7"/>
        <v>3958405.8303965623</v>
      </c>
      <c r="AT62" s="7">
        <f>IF(AS62&gt;'Funding Comparison'!D62*(1+'Front page'!$H$10),'Funding Comparison'!D62*(1+'Front page'!$H$10),AS62)</f>
        <v>3958405.8303965623</v>
      </c>
    </row>
    <row r="63" spans="1:46">
      <c r="A63" t="str">
        <f t="shared" si="0"/>
        <v>261</v>
      </c>
      <c r="B63">
        <f t="shared" si="2"/>
        <v>261</v>
      </c>
      <c r="C63" s="15" t="s">
        <v>72</v>
      </c>
      <c r="D63">
        <f>IF(settings!$G$4=0,'Student Enrollment Data'!AX64,'Student Enrollment Data'!CK64)</f>
        <v>3874.5</v>
      </c>
      <c r="E63">
        <f>IF(settings!$G$4=0,'Student Enrollment Data'!AY64,'Student Enrollment Data'!CL64)</f>
        <v>1063.5</v>
      </c>
      <c r="F63">
        <f>IF(settings!$G$4=0,'Student Enrollment Data'!AZ64,'Student Enrollment Data'!CM64)</f>
        <v>1105</v>
      </c>
      <c r="G63" s="25">
        <f>'Student Enrollment Data'!BK64</f>
        <v>393</v>
      </c>
      <c r="H63">
        <f>'Student Enrollment Data'!BF64</f>
        <v>2386</v>
      </c>
      <c r="I63">
        <f>SUM('Student Enrollment Data'!R64:X64,'Student Enrollment Data'!AQ64:AW64)</f>
        <v>84.060052698499931</v>
      </c>
      <c r="J63">
        <f>'Student Enrollment Data'!BS64</f>
        <v>1054</v>
      </c>
      <c r="K63">
        <f t="shared" si="3"/>
        <v>387.45000000000005</v>
      </c>
      <c r="M63" s="30">
        <f t="shared" si="8"/>
        <v>3874.5</v>
      </c>
      <c r="N63" s="30">
        <f>E63*'Front page'!$B$20</f>
        <v>106.35000000000001</v>
      </c>
      <c r="O63" s="30">
        <f>F63*'Front page'!$B$21</f>
        <v>110.5</v>
      </c>
      <c r="P63">
        <f>G63*'Front page'!$B$18</f>
        <v>255.45000000000002</v>
      </c>
      <c r="Q63" s="30">
        <f>IF(settings!$B$4=0,Calculations!H63,Calculations!I63) *'Front page'!$B$11</f>
        <v>238.60000000000002</v>
      </c>
      <c r="R63" s="31">
        <f>ROUND(I63*'Front page'!$B$9,2)</f>
        <v>0</v>
      </c>
      <c r="S63" s="30">
        <f>J63*'Front page'!$B$14</f>
        <v>105.4</v>
      </c>
      <c r="T63" s="103">
        <f>'Front page'!$B$16*Calculations!K63</f>
        <v>7.7490000000000014</v>
      </c>
      <c r="U63" s="103">
        <f>IF(settings!$B$13=0,(Calculations!M63*'District Wealth Adjustment'!M62)-Calculations!M63,0)</f>
        <v>387.45000000000073</v>
      </c>
      <c r="V63" s="185">
        <f>VLOOKUP(B63,'Remote School Building Weight'!$M$2:$P$174,3,FALSE)</f>
        <v>0</v>
      </c>
      <c r="W63" s="25">
        <f>'Small Dist Weight'!V62-Calculations!D63</f>
        <v>0</v>
      </c>
      <c r="X63" s="25">
        <f>IF(settings!$P$9=0,'Large District Weight'!H62*'Large District Weight'!G62,0)</f>
        <v>0</v>
      </c>
      <c r="Y63" s="25">
        <f t="shared" si="4"/>
        <v>5085.9990000000007</v>
      </c>
      <c r="Z63" s="25">
        <f>IF(settings!$F$13=0,'Teacher Exp'!L63,0)</f>
        <v>0</v>
      </c>
      <c r="AA63" s="25">
        <f t="shared" si="5"/>
        <v>5085.9990000000007</v>
      </c>
      <c r="AC63" s="26">
        <f>'Student Enrollment Data'!BU64</f>
        <v>132</v>
      </c>
      <c r="AD63" s="26">
        <f t="shared" si="6"/>
        <v>387.45000000000005</v>
      </c>
      <c r="AE63" s="26">
        <f>AD63*'Front page'!$B$16</f>
        <v>7.7490000000000014</v>
      </c>
      <c r="AG63" s="6">
        <f>M63*'Front page'!$E$3</f>
        <v>16415448.550617473</v>
      </c>
      <c r="AH63" s="6">
        <f>N63*'Front page'!$E$3</f>
        <v>450582.77283731278</v>
      </c>
      <c r="AI63" s="6">
        <f>O63*'Front page'!$E$3</f>
        <v>468165.45743792254</v>
      </c>
      <c r="AJ63" s="6">
        <f>P63*'Front page'!$E$3</f>
        <v>1082288.3810182563</v>
      </c>
      <c r="AK63" s="6">
        <f>Q63*'Front page'!$E$3</f>
        <v>1010898.4447483106</v>
      </c>
      <c r="AL63" s="6">
        <f>S63*'Front page'!$E$3</f>
        <v>446557.82094078767</v>
      </c>
      <c r="AM63" s="5">
        <f>Z63*'Front page'!$E$3</f>
        <v>0</v>
      </c>
      <c r="AN63" s="6">
        <f>T63*'Front page'!$E$3</f>
        <v>32830.89710123495</v>
      </c>
      <c r="AO63" s="6">
        <f>U63*'Front page'!$E$3</f>
        <v>1641544.8550617504</v>
      </c>
      <c r="AP63" s="6">
        <f>W63*'Front page'!$E$3</f>
        <v>0</v>
      </c>
      <c r="AQ63" s="6">
        <f>V63*'Front page'!$E$3</f>
        <v>0</v>
      </c>
      <c r="AR63" s="6">
        <f>X63*'Front page'!$E$3</f>
        <v>0</v>
      </c>
      <c r="AS63" s="6">
        <f t="shared" si="7"/>
        <v>21548317.179763049</v>
      </c>
      <c r="AT63" s="7">
        <f>IF(AS63&gt;'Funding Comparison'!D63*(1+'Front page'!$H$10),'Funding Comparison'!D63*(1+'Front page'!$H$10),AS63)</f>
        <v>21077883.867249995</v>
      </c>
    </row>
    <row r="64" spans="1:46">
      <c r="A64" t="str">
        <f t="shared" si="0"/>
        <v>262</v>
      </c>
      <c r="B64">
        <f t="shared" si="2"/>
        <v>262</v>
      </c>
      <c r="C64" s="15" t="s">
        <v>73</v>
      </c>
      <c r="D64">
        <f>IF(settings!$G$4=0,'Student Enrollment Data'!AX65,'Student Enrollment Data'!CK65)</f>
        <v>574.5</v>
      </c>
      <c r="E64">
        <f>IF(settings!$G$4=0,'Student Enrollment Data'!AY65,'Student Enrollment Data'!CL65)</f>
        <v>147.5</v>
      </c>
      <c r="F64">
        <f>IF(settings!$G$4=0,'Student Enrollment Data'!AZ65,'Student Enrollment Data'!CM65)</f>
        <v>177</v>
      </c>
      <c r="G64" s="25">
        <f>'Student Enrollment Data'!BK65</f>
        <v>47</v>
      </c>
      <c r="H64">
        <f>'Student Enrollment Data'!BF65</f>
        <v>333</v>
      </c>
      <c r="I64">
        <f>SUM('Student Enrollment Data'!R65:X65,'Student Enrollment Data'!AQ65:AW65)</f>
        <v>0</v>
      </c>
      <c r="J64">
        <f>'Student Enrollment Data'!BS65</f>
        <v>156</v>
      </c>
      <c r="K64">
        <f t="shared" si="3"/>
        <v>57.45</v>
      </c>
      <c r="M64" s="30">
        <f t="shared" si="8"/>
        <v>574.5</v>
      </c>
      <c r="N64" s="30">
        <f>E64*'Front page'!$B$20</f>
        <v>14.75</v>
      </c>
      <c r="O64" s="30">
        <f>F64*'Front page'!$B$21</f>
        <v>17.7</v>
      </c>
      <c r="P64">
        <f>G64*'Front page'!$B$18</f>
        <v>30.55</v>
      </c>
      <c r="Q64" s="30">
        <f>IF(settings!$B$4=0,Calculations!H64,Calculations!I64) *'Front page'!$B$11</f>
        <v>33.300000000000004</v>
      </c>
      <c r="R64" s="31">
        <f>ROUND(I64*'Front page'!$B$9,2)</f>
        <v>0</v>
      </c>
      <c r="S64" s="30">
        <f>J64*'Front page'!$B$14</f>
        <v>15.600000000000001</v>
      </c>
      <c r="T64" s="103">
        <f>'Front page'!$B$16*Calculations!K64</f>
        <v>1.149</v>
      </c>
      <c r="U64" s="103">
        <f>IF(settings!$B$13=0,(Calculations!M64*'District Wealth Adjustment'!M63)-Calculations!M64,0)</f>
        <v>57.450000000000045</v>
      </c>
      <c r="V64" s="185">
        <f>VLOOKUP(B64,'Remote School Building Weight'!$M$2:$P$174,3,FALSE)</f>
        <v>0</v>
      </c>
      <c r="W64" s="25">
        <f>'Small Dist Weight'!V63-Calculations!D64</f>
        <v>163.87887343260195</v>
      </c>
      <c r="X64" s="25">
        <f>IF(settings!$P$9=0,'Large District Weight'!H63*'Large District Weight'!G63,0)</f>
        <v>0</v>
      </c>
      <c r="Y64" s="25">
        <f t="shared" si="4"/>
        <v>908.87787343260197</v>
      </c>
      <c r="Z64" s="25">
        <f>IF(settings!$F$13=0,'Teacher Exp'!L64,0)</f>
        <v>24.988859151124323</v>
      </c>
      <c r="AA64" s="25">
        <f t="shared" si="5"/>
        <v>933.86673258372628</v>
      </c>
      <c r="AC64" s="26">
        <f>'Student Enrollment Data'!BU65</f>
        <v>0</v>
      </c>
      <c r="AD64" s="26">
        <f t="shared" si="6"/>
        <v>57.45</v>
      </c>
      <c r="AE64" s="26">
        <f>AD64*'Front page'!$B$16</f>
        <v>1.149</v>
      </c>
      <c r="AG64" s="6">
        <f>M64*'Front page'!$E$3</f>
        <v>2434036.6995301945</v>
      </c>
      <c r="AH64" s="6">
        <f>N64*'Front page'!$E$3</f>
        <v>62492.674182890114</v>
      </c>
      <c r="AI64" s="6">
        <f>O64*'Front page'!$E$3</f>
        <v>74991.209019468137</v>
      </c>
      <c r="AJ64" s="6">
        <f>P64*'Front page'!$E$3</f>
        <v>129433.979409308</v>
      </c>
      <c r="AK64" s="6">
        <f>Q64*'Front page'!$E$3</f>
        <v>141085.15595188073</v>
      </c>
      <c r="AL64" s="6">
        <f>S64*'Front page'!$E$3</f>
        <v>66093.946932412597</v>
      </c>
      <c r="AM64" s="5">
        <f>Z64*'Front page'!$E$3</f>
        <v>105872.58529717589</v>
      </c>
      <c r="AN64" s="6">
        <f>T64*'Front page'!$E$3</f>
        <v>4868.0733990603894</v>
      </c>
      <c r="AO64" s="6">
        <f>U64*'Front page'!$E$3</f>
        <v>243403.66995301965</v>
      </c>
      <c r="AP64" s="6">
        <f>W64*'Front page'!$E$3</f>
        <v>694320.61307679187</v>
      </c>
      <c r="AQ64" s="6">
        <f>V64*'Front page'!$E$3</f>
        <v>0</v>
      </c>
      <c r="AR64" s="6">
        <f>X64*'Front page'!$E$3</f>
        <v>0</v>
      </c>
      <c r="AS64" s="6">
        <f t="shared" si="7"/>
        <v>3956598.6067522019</v>
      </c>
      <c r="AT64" s="7">
        <f>IF(AS64&gt;'Funding Comparison'!D64*(1+'Front page'!$H$10),'Funding Comparison'!D64*(1+'Front page'!$H$10),AS64)</f>
        <v>3956598.6067522019</v>
      </c>
    </row>
    <row r="65" spans="1:46">
      <c r="A65" t="str">
        <f t="shared" si="0"/>
        <v>271</v>
      </c>
      <c r="B65">
        <f t="shared" si="2"/>
        <v>271</v>
      </c>
      <c r="C65" s="15" t="s">
        <v>74</v>
      </c>
      <c r="D65">
        <f>IF(settings!$G$4=0,'Student Enrollment Data'!AX66,'Student Enrollment Data'!CK66)</f>
        <v>10380</v>
      </c>
      <c r="E65">
        <f>IF(settings!$G$4=0,'Student Enrollment Data'!AY66,'Student Enrollment Data'!CL66)</f>
        <v>2900</v>
      </c>
      <c r="F65">
        <f>IF(settings!$G$4=0,'Student Enrollment Data'!AZ66,'Student Enrollment Data'!CM66)</f>
        <v>3241</v>
      </c>
      <c r="G65" s="25">
        <f>'Student Enrollment Data'!BK66</f>
        <v>1058</v>
      </c>
      <c r="H65">
        <f>'Student Enrollment Data'!BF66</f>
        <v>3597</v>
      </c>
      <c r="I65">
        <f>SUM('Student Enrollment Data'!R66:X66,'Student Enrollment Data'!AQ66:AW66)</f>
        <v>137.04135586631213</v>
      </c>
      <c r="J65">
        <f>'Student Enrollment Data'!BS66</f>
        <v>75</v>
      </c>
      <c r="K65">
        <f t="shared" si="3"/>
        <v>1038</v>
      </c>
      <c r="M65" s="30">
        <f t="shared" si="8"/>
        <v>10380</v>
      </c>
      <c r="N65" s="30">
        <f>E65*'Front page'!$B$20</f>
        <v>290</v>
      </c>
      <c r="O65" s="30">
        <f>F65*'Front page'!$B$21</f>
        <v>324.10000000000002</v>
      </c>
      <c r="P65">
        <f>G65*'Front page'!$B$18</f>
        <v>687.7</v>
      </c>
      <c r="Q65" s="30">
        <f>IF(settings!$B$4=0,Calculations!H65,Calculations!I65) *'Front page'!$B$11</f>
        <v>359.70000000000005</v>
      </c>
      <c r="R65" s="31">
        <f>ROUND(I65*'Front page'!$B$9,2)</f>
        <v>0</v>
      </c>
      <c r="S65" s="30">
        <f>J65*'Front page'!$B$14</f>
        <v>7.5</v>
      </c>
      <c r="T65" s="103">
        <f>'Front page'!$B$16*Calculations!K65</f>
        <v>20.76</v>
      </c>
      <c r="U65" s="103">
        <f>IF(settings!$B$13=0,(Calculations!M65*'District Wealth Adjustment'!M64)-Calculations!M65,0)</f>
        <v>0</v>
      </c>
      <c r="V65" s="185">
        <f>VLOOKUP(B65,'Remote School Building Weight'!$M$2:$P$174,3,FALSE)</f>
        <v>0</v>
      </c>
      <c r="W65" s="25">
        <f>'Small Dist Weight'!V64-Calculations!D65</f>
        <v>0</v>
      </c>
      <c r="X65" s="25">
        <f>IF(settings!$P$9=0,'Large District Weight'!H64*'Large District Weight'!G64,0)</f>
        <v>0</v>
      </c>
      <c r="Y65" s="25">
        <f t="shared" si="4"/>
        <v>12069.760000000002</v>
      </c>
      <c r="Z65" s="25">
        <f>IF(settings!$F$13=0,'Teacher Exp'!L65,0)</f>
        <v>142.84621699894109</v>
      </c>
      <c r="AA65" s="25">
        <f t="shared" si="5"/>
        <v>12212.606216998944</v>
      </c>
      <c r="AC65" s="26">
        <f>'Student Enrollment Data'!BU66</f>
        <v>1078</v>
      </c>
      <c r="AD65" s="26">
        <f t="shared" si="6"/>
        <v>1038</v>
      </c>
      <c r="AE65" s="26">
        <f>AD65*'Front page'!$B$16</f>
        <v>20.76</v>
      </c>
      <c r="AG65" s="6">
        <f>M65*'Front page'!$E$3</f>
        <v>43977895.458874531</v>
      </c>
      <c r="AH65" s="6">
        <f>N65*'Front page'!$E$3</f>
        <v>1228669.5263076699</v>
      </c>
      <c r="AI65" s="6">
        <f>O65*'Front page'!$E$3</f>
        <v>1373144.1154355719</v>
      </c>
      <c r="AJ65" s="6">
        <f>P65*'Front page'!$E$3</f>
        <v>2913641.4939371888</v>
      </c>
      <c r="AK65" s="6">
        <f>Q65*'Front page'!$E$3</f>
        <v>1523973.8917685137</v>
      </c>
      <c r="AL65" s="6">
        <f>S65*'Front page'!$E$3</f>
        <v>31775.93602519836</v>
      </c>
      <c r="AM65" s="5">
        <f>Z65*'Front page'!$E$3</f>
        <v>605209.63370666059</v>
      </c>
      <c r="AN65" s="6">
        <f>T65*'Front page'!$E$3</f>
        <v>87955.790917749066</v>
      </c>
      <c r="AO65" s="6">
        <f>U65*'Front page'!$E$3</f>
        <v>0</v>
      </c>
      <c r="AP65" s="6">
        <f>W65*'Front page'!$E$3</f>
        <v>0</v>
      </c>
      <c r="AQ65" s="6">
        <f>V65*'Front page'!$E$3</f>
        <v>0</v>
      </c>
      <c r="AR65" s="6">
        <f>X65*'Front page'!$E$3</f>
        <v>0</v>
      </c>
      <c r="AS65" s="6">
        <f t="shared" si="7"/>
        <v>51742265.846973076</v>
      </c>
      <c r="AT65" s="7">
        <f>IF(AS65&gt;'Funding Comparison'!D65*(1+'Front page'!$H$10),'Funding Comparison'!D65*(1+'Front page'!$H$10),AS65)</f>
        <v>51742265.846973076</v>
      </c>
    </row>
    <row r="66" spans="1:46">
      <c r="A66" t="str">
        <f t="shared" si="0"/>
        <v>272</v>
      </c>
      <c r="B66">
        <f t="shared" si="2"/>
        <v>272</v>
      </c>
      <c r="C66" s="15" t="s">
        <v>75</v>
      </c>
      <c r="D66">
        <f>IF(settings!$G$4=0,'Student Enrollment Data'!AX67,'Student Enrollment Data'!CK67)</f>
        <v>4287</v>
      </c>
      <c r="E66">
        <f>IF(settings!$G$4=0,'Student Enrollment Data'!AY67,'Student Enrollment Data'!CL67)</f>
        <v>1088</v>
      </c>
      <c r="F66">
        <f>IF(settings!$G$4=0,'Student Enrollment Data'!AZ67,'Student Enrollment Data'!CM67)</f>
        <v>1528</v>
      </c>
      <c r="G66" s="25">
        <f>'Student Enrollment Data'!BK67</f>
        <v>422</v>
      </c>
      <c r="H66">
        <f>'Student Enrollment Data'!BF67</f>
        <v>1579</v>
      </c>
      <c r="I66">
        <f>SUM('Student Enrollment Data'!R67:X67,'Student Enrollment Data'!AQ67:AW67)</f>
        <v>158.73304575163397</v>
      </c>
      <c r="J66">
        <f>'Student Enrollment Data'!BS67</f>
        <v>5</v>
      </c>
      <c r="K66">
        <f t="shared" si="3"/>
        <v>428.70000000000005</v>
      </c>
      <c r="M66" s="30">
        <f t="shared" si="8"/>
        <v>4287</v>
      </c>
      <c r="N66" s="30">
        <f>E66*'Front page'!$B$20</f>
        <v>108.80000000000001</v>
      </c>
      <c r="O66" s="30">
        <f>F66*'Front page'!$B$21</f>
        <v>152.80000000000001</v>
      </c>
      <c r="P66">
        <f>G66*'Front page'!$B$18</f>
        <v>274.3</v>
      </c>
      <c r="Q66" s="30">
        <f>IF(settings!$B$4=0,Calculations!H66,Calculations!I66) *'Front page'!$B$11</f>
        <v>157.9</v>
      </c>
      <c r="R66" s="31">
        <f>ROUND(I66*'Front page'!$B$9,2)</f>
        <v>0</v>
      </c>
      <c r="S66" s="30">
        <f>J66*'Front page'!$B$14</f>
        <v>0.5</v>
      </c>
      <c r="T66" s="103">
        <f>'Front page'!$B$16*Calculations!K66</f>
        <v>8.5740000000000016</v>
      </c>
      <c r="U66" s="103">
        <f>IF(settings!$B$13=0,(Calculations!M66*'District Wealth Adjustment'!M65)-Calculations!M66,0)</f>
        <v>0</v>
      </c>
      <c r="V66" s="185">
        <f>VLOOKUP(B66,'Remote School Building Weight'!$M$2:$P$174,3,FALSE)</f>
        <v>0</v>
      </c>
      <c r="W66" s="25">
        <f>'Small Dist Weight'!V65-Calculations!D66</f>
        <v>0</v>
      </c>
      <c r="X66" s="25">
        <f>IF(settings!$P$9=0,'Large District Weight'!H65*'Large District Weight'!G65,0)</f>
        <v>0</v>
      </c>
      <c r="Y66" s="25">
        <f t="shared" si="4"/>
        <v>4989.8739999999998</v>
      </c>
      <c r="Z66" s="25">
        <f>IF(settings!$F$13=0,'Teacher Exp'!L66,0)</f>
        <v>76.552740333447801</v>
      </c>
      <c r="AA66" s="25">
        <f t="shared" si="5"/>
        <v>5066.4267403334479</v>
      </c>
      <c r="AC66" s="26">
        <f>'Student Enrollment Data'!BU67</f>
        <v>135</v>
      </c>
      <c r="AD66" s="26">
        <f t="shared" si="6"/>
        <v>428.70000000000005</v>
      </c>
      <c r="AE66" s="26">
        <f>AD66*'Front page'!$B$16</f>
        <v>8.5740000000000016</v>
      </c>
      <c r="AG66" s="6">
        <f>M66*'Front page'!$E$3</f>
        <v>18163125.032003384</v>
      </c>
      <c r="AH66" s="6">
        <f>N66*'Front page'!$E$3</f>
        <v>460962.9119388776</v>
      </c>
      <c r="AI66" s="6">
        <f>O66*'Front page'!$E$3</f>
        <v>647381.73662004131</v>
      </c>
      <c r="AJ66" s="6">
        <f>P66*'Front page'!$E$3</f>
        <v>1162151.9002282547</v>
      </c>
      <c r="AK66" s="6">
        <f>Q66*'Front page'!$E$3</f>
        <v>668989.37311717623</v>
      </c>
      <c r="AL66" s="6">
        <f>S66*'Front page'!$E$3</f>
        <v>2118.3957350132241</v>
      </c>
      <c r="AM66" s="5">
        <f>Z66*'Front page'!$E$3</f>
        <v>324337.99725190131</v>
      </c>
      <c r="AN66" s="6">
        <f>T66*'Front page'!$E$3</f>
        <v>36326.250064006774</v>
      </c>
      <c r="AO66" s="6">
        <f>U66*'Front page'!$E$3</f>
        <v>0</v>
      </c>
      <c r="AP66" s="6">
        <f>W66*'Front page'!$E$3</f>
        <v>0</v>
      </c>
      <c r="AQ66" s="6">
        <f>V66*'Front page'!$E$3</f>
        <v>0</v>
      </c>
      <c r="AR66" s="6">
        <f>X66*'Front page'!$E$3</f>
        <v>0</v>
      </c>
      <c r="AS66" s="6">
        <f t="shared" si="7"/>
        <v>21465393.596958656</v>
      </c>
      <c r="AT66" s="7">
        <f>IF(AS66&gt;'Funding Comparison'!D66*(1+'Front page'!$H$10),'Funding Comparison'!D66*(1+'Front page'!$H$10),AS66)</f>
        <v>21465393.596958656</v>
      </c>
    </row>
    <row r="67" spans="1:46">
      <c r="A67" t="str">
        <f t="shared" ref="A67:A130" si="9">RIGHT(C67,3)</f>
        <v>273</v>
      </c>
      <c r="B67">
        <f t="shared" si="2"/>
        <v>273</v>
      </c>
      <c r="C67" s="15" t="s">
        <v>76</v>
      </c>
      <c r="D67">
        <f>IF(settings!$G$4=0,'Student Enrollment Data'!AX68,'Student Enrollment Data'!CK68)</f>
        <v>5789.5</v>
      </c>
      <c r="E67">
        <f>IF(settings!$G$4=0,'Student Enrollment Data'!AY68,'Student Enrollment Data'!CL68)</f>
        <v>1645.5</v>
      </c>
      <c r="F67">
        <f>IF(settings!$G$4=0,'Student Enrollment Data'!AZ68,'Student Enrollment Data'!CM68)</f>
        <v>1747</v>
      </c>
      <c r="G67" s="25">
        <f>'Student Enrollment Data'!BK68</f>
        <v>621</v>
      </c>
      <c r="H67">
        <f>'Student Enrollment Data'!BF68</f>
        <v>2256</v>
      </c>
      <c r="I67">
        <f>SUM('Student Enrollment Data'!R68:X68,'Student Enrollment Data'!AQ68:AW68)</f>
        <v>252.43248925800478</v>
      </c>
      <c r="J67">
        <f>'Student Enrollment Data'!BS68</f>
        <v>45</v>
      </c>
      <c r="K67">
        <f t="shared" si="3"/>
        <v>578.95000000000005</v>
      </c>
      <c r="M67" s="30">
        <f t="shared" ref="M67:M98" si="10">MAX(D67,30)</f>
        <v>5789.5</v>
      </c>
      <c r="N67" s="30">
        <f>E67*'Front page'!$B$20</f>
        <v>164.55</v>
      </c>
      <c r="O67" s="30">
        <f>F67*'Front page'!$B$21</f>
        <v>174.70000000000002</v>
      </c>
      <c r="P67">
        <f>G67*'Front page'!$B$18</f>
        <v>403.65000000000003</v>
      </c>
      <c r="Q67" s="30">
        <f>IF(settings!$B$4=0,Calculations!H67,Calculations!I67) *'Front page'!$B$11</f>
        <v>225.60000000000002</v>
      </c>
      <c r="R67" s="31">
        <f>ROUND(I67*'Front page'!$B$9,2)</f>
        <v>0</v>
      </c>
      <c r="S67" s="30">
        <f>J67*'Front page'!$B$14</f>
        <v>4.5</v>
      </c>
      <c r="T67" s="103">
        <f>'Front page'!$B$16*Calculations!K67</f>
        <v>11.579000000000001</v>
      </c>
      <c r="U67" s="103">
        <f>IF(settings!$B$13=0,(Calculations!M67*'District Wealth Adjustment'!M66)-Calculations!M67,0)</f>
        <v>272.81954564531043</v>
      </c>
      <c r="V67" s="185">
        <f>VLOOKUP(B67,'Remote School Building Weight'!$M$2:$P$174,3,FALSE)</f>
        <v>0</v>
      </c>
      <c r="W67" s="25">
        <f>'Small Dist Weight'!V66-Calculations!D67</f>
        <v>0</v>
      </c>
      <c r="X67" s="25">
        <f>IF(settings!$P$9=0,'Large District Weight'!H66*'Large District Weight'!G66,0)</f>
        <v>0</v>
      </c>
      <c r="Y67" s="25">
        <f t="shared" si="4"/>
        <v>7046.8985456453102</v>
      </c>
      <c r="Z67" s="25">
        <f>IF(settings!$F$13=0,'Teacher Exp'!L67,0)</f>
        <v>33.846704818570629</v>
      </c>
      <c r="AA67" s="25">
        <f t="shared" si="5"/>
        <v>7080.7452504638804</v>
      </c>
      <c r="AC67" s="26">
        <f>'Student Enrollment Data'!BU68</f>
        <v>426</v>
      </c>
      <c r="AD67" s="26">
        <f t="shared" si="6"/>
        <v>578.95000000000005</v>
      </c>
      <c r="AE67" s="26">
        <f>AD67*'Front page'!$B$16</f>
        <v>11.579000000000001</v>
      </c>
      <c r="AG67" s="6">
        <f>M67*'Front page'!$E$3</f>
        <v>24528904.21571812</v>
      </c>
      <c r="AH67" s="6">
        <f>N67*'Front page'!$E$3</f>
        <v>697164.03639285208</v>
      </c>
      <c r="AI67" s="6">
        <f>O67*'Front page'!$E$3</f>
        <v>740167.46981362056</v>
      </c>
      <c r="AJ67" s="6">
        <f>P67*'Front page'!$E$3</f>
        <v>1710180.8768761759</v>
      </c>
      <c r="AK67" s="6">
        <f>Q67*'Front page'!$E$3</f>
        <v>955820.15563796682</v>
      </c>
      <c r="AL67" s="6">
        <f>S67*'Front page'!$E$3</f>
        <v>19065.561615119019</v>
      </c>
      <c r="AM67" s="5">
        <f>Z67*'Front page'!$E$3</f>
        <v>143401.43026382313</v>
      </c>
      <c r="AN67" s="6">
        <f>T67*'Front page'!$E$3</f>
        <v>49057.80843143625</v>
      </c>
      <c r="AO67" s="6">
        <f>U67*'Front page'!$E$3</f>
        <v>1155879.5238465425</v>
      </c>
      <c r="AP67" s="6">
        <f>W67*'Front page'!$E$3</f>
        <v>0</v>
      </c>
      <c r="AQ67" s="6">
        <f>V67*'Front page'!$E$3</f>
        <v>0</v>
      </c>
      <c r="AR67" s="6">
        <f>X67*'Front page'!$E$3</f>
        <v>0</v>
      </c>
      <c r="AS67" s="6">
        <f t="shared" si="7"/>
        <v>29999641.078595661</v>
      </c>
      <c r="AT67" s="7">
        <f>IF(AS67&gt;'Funding Comparison'!D67*(1+'Front page'!$H$10),'Funding Comparison'!D67*(1+'Front page'!$H$10),AS67)</f>
        <v>29999641.078595661</v>
      </c>
    </row>
    <row r="68" spans="1:46">
      <c r="A68" t="str">
        <f t="shared" si="9"/>
        <v>274</v>
      </c>
      <c r="B68">
        <f t="shared" ref="B68:B131" si="11">A68*1</f>
        <v>274</v>
      </c>
      <c r="C68" s="15" t="s">
        <v>77</v>
      </c>
      <c r="D68">
        <f>IF(settings!$G$4=0,'Student Enrollment Data'!AX69,'Student Enrollment Data'!CK69)</f>
        <v>135.5</v>
      </c>
      <c r="E68">
        <f>IF(settings!$G$4=0,'Student Enrollment Data'!AY69,'Student Enrollment Data'!CL69)</f>
        <v>35.5</v>
      </c>
      <c r="F68">
        <f>IF(settings!$G$4=0,'Student Enrollment Data'!AZ69,'Student Enrollment Data'!CM69)</f>
        <v>54</v>
      </c>
      <c r="G68" s="25">
        <f>'Student Enrollment Data'!BK69</f>
        <v>23</v>
      </c>
      <c r="H68">
        <f>'Student Enrollment Data'!BF69</f>
        <v>69</v>
      </c>
      <c r="I68">
        <f>SUM('Student Enrollment Data'!R69:X69,'Student Enrollment Data'!AQ69:AW69)</f>
        <v>0</v>
      </c>
      <c r="J68">
        <f>'Student Enrollment Data'!BS69</f>
        <v>0</v>
      </c>
      <c r="K68">
        <f t="shared" ref="K68:K131" si="12">M68*0.1</f>
        <v>13.55</v>
      </c>
      <c r="M68" s="30">
        <f t="shared" si="10"/>
        <v>135.5</v>
      </c>
      <c r="N68" s="30">
        <f>E68*'Front page'!$B$20</f>
        <v>3.5500000000000003</v>
      </c>
      <c r="O68" s="30">
        <f>F68*'Front page'!$B$21</f>
        <v>5.4</v>
      </c>
      <c r="P68">
        <f>G68*'Front page'!$B$18</f>
        <v>14.950000000000001</v>
      </c>
      <c r="Q68" s="30">
        <f>IF(settings!$B$4=0,Calculations!H68,Calculations!I68) *'Front page'!$B$11</f>
        <v>6.9</v>
      </c>
      <c r="R68" s="31">
        <f>ROUND(I68*'Front page'!$B$9,2)</f>
        <v>0</v>
      </c>
      <c r="S68" s="30">
        <f>J68*'Front page'!$B$14</f>
        <v>0</v>
      </c>
      <c r="T68" s="103">
        <f>'Front page'!$B$16*Calculations!K68</f>
        <v>0.27100000000000002</v>
      </c>
      <c r="U68" s="103">
        <f>IF(settings!$B$13=0,(Calculations!M68*'District Wealth Adjustment'!M67)-Calculations!M68,0)</f>
        <v>0</v>
      </c>
      <c r="V68" s="185">
        <f>VLOOKUP(B68,'Remote School Building Weight'!$M$2:$P$174,3,FALSE)</f>
        <v>0</v>
      </c>
      <c r="W68" s="25">
        <f>'Small Dist Weight'!V67-Calculations!D68</f>
        <v>168.02581308777428</v>
      </c>
      <c r="X68" s="25">
        <f>IF(settings!$P$9=0,'Large District Weight'!H67*'Large District Weight'!G67,0)</f>
        <v>0</v>
      </c>
      <c r="Y68" s="25">
        <f t="shared" ref="Y68:Y131" si="13">SUM(M68:X68)</f>
        <v>334.59681308777431</v>
      </c>
      <c r="Z68" s="25">
        <f>IF(settings!$F$13=0,'Teacher Exp'!L68,0)</f>
        <v>0</v>
      </c>
      <c r="AA68" s="25">
        <f t="shared" ref="AA68:AA131" si="14">Y68+Z68</f>
        <v>334.59681308777431</v>
      </c>
      <c r="AC68" s="26">
        <f>'Student Enrollment Data'!BU69</f>
        <v>0</v>
      </c>
      <c r="AD68" s="26">
        <f t="shared" ref="AD68:AD131" si="15">M68*0.1</f>
        <v>13.55</v>
      </c>
      <c r="AE68" s="26">
        <f>AD68*'Front page'!$B$16</f>
        <v>0.27100000000000002</v>
      </c>
      <c r="AG68" s="6">
        <f>M68*'Front page'!$E$3</f>
        <v>574085.24418858369</v>
      </c>
      <c r="AH68" s="6">
        <f>N68*'Front page'!$E$3</f>
        <v>15040.609718593892</v>
      </c>
      <c r="AI68" s="6">
        <f>O68*'Front page'!$E$3</f>
        <v>22878.673938142823</v>
      </c>
      <c r="AJ68" s="6">
        <f>P68*'Front page'!$E$3</f>
        <v>63340.032476895409</v>
      </c>
      <c r="AK68" s="6">
        <f>Q68*'Front page'!$E$3</f>
        <v>29233.861143182494</v>
      </c>
      <c r="AL68" s="6">
        <f>S68*'Front page'!$E$3</f>
        <v>0</v>
      </c>
      <c r="AM68" s="5">
        <f>Z68*'Front page'!$E$3</f>
        <v>0</v>
      </c>
      <c r="AN68" s="6">
        <f>T68*'Front page'!$E$3</f>
        <v>1148.1704883771677</v>
      </c>
      <c r="AO68" s="6">
        <f>U68*'Front page'!$E$3</f>
        <v>0</v>
      </c>
      <c r="AP68" s="6">
        <f>W68*'Front page'!$E$3</f>
        <v>711890.33163454046</v>
      </c>
      <c r="AQ68" s="6">
        <f>V68*'Front page'!$E$3</f>
        <v>0</v>
      </c>
      <c r="AR68" s="6">
        <f>X68*'Front page'!$E$3</f>
        <v>0</v>
      </c>
      <c r="AS68" s="6">
        <f t="shared" ref="AS68:AS131" si="16">SUM(AG68:AR68)</f>
        <v>1417616.923588316</v>
      </c>
      <c r="AT68" s="7">
        <f>IF(AS68&gt;'Funding Comparison'!D68*(1+'Front page'!$H$10),'Funding Comparison'!D68*(1+'Front page'!$H$10),AS68)</f>
        <v>1417616.923588316</v>
      </c>
    </row>
    <row r="69" spans="1:46">
      <c r="A69" t="str">
        <f t="shared" si="9"/>
        <v>281</v>
      </c>
      <c r="B69">
        <f t="shared" si="11"/>
        <v>281</v>
      </c>
      <c r="C69" s="15" t="s">
        <v>78</v>
      </c>
      <c r="D69">
        <f>IF(settings!$G$4=0,'Student Enrollment Data'!AX70,'Student Enrollment Data'!CK70)</f>
        <v>2245</v>
      </c>
      <c r="E69">
        <f>IF(settings!$G$4=0,'Student Enrollment Data'!AY70,'Student Enrollment Data'!CL70)</f>
        <v>570</v>
      </c>
      <c r="F69">
        <f>IF(settings!$G$4=0,'Student Enrollment Data'!AZ70,'Student Enrollment Data'!CM70)</f>
        <v>790</v>
      </c>
      <c r="G69" s="25">
        <f>'Student Enrollment Data'!BK70</f>
        <v>267</v>
      </c>
      <c r="H69">
        <f>'Student Enrollment Data'!BF70</f>
        <v>702</v>
      </c>
      <c r="I69">
        <f>SUM('Student Enrollment Data'!R70:X70,'Student Enrollment Data'!AQ70:AW70)</f>
        <v>16.12064767441861</v>
      </c>
      <c r="J69">
        <f>'Student Enrollment Data'!BS70</f>
        <v>76</v>
      </c>
      <c r="K69">
        <f t="shared" si="12"/>
        <v>224.5</v>
      </c>
      <c r="M69" s="30">
        <f t="shared" si="10"/>
        <v>2245</v>
      </c>
      <c r="N69" s="30">
        <f>E69*'Front page'!$B$20</f>
        <v>57</v>
      </c>
      <c r="O69" s="30">
        <f>F69*'Front page'!$B$21</f>
        <v>79</v>
      </c>
      <c r="P69">
        <f>G69*'Front page'!$B$18</f>
        <v>173.55</v>
      </c>
      <c r="Q69" s="30">
        <f>IF(settings!$B$4=0,Calculations!H69,Calculations!I69) *'Front page'!$B$11</f>
        <v>70.2</v>
      </c>
      <c r="R69" s="31">
        <f>ROUND(I69*'Front page'!$B$9,2)</f>
        <v>0</v>
      </c>
      <c r="S69" s="30">
        <f>J69*'Front page'!$B$14</f>
        <v>7.6000000000000005</v>
      </c>
      <c r="T69" s="103">
        <f>'Front page'!$B$16*Calculations!K69</f>
        <v>4.49</v>
      </c>
      <c r="U69" s="103">
        <f>IF(settings!$B$13=0,(Calculations!M69*'District Wealth Adjustment'!M68)-Calculations!M69,0)</f>
        <v>0</v>
      </c>
      <c r="V69" s="185">
        <f>VLOOKUP(B69,'Remote School Building Weight'!$M$2:$P$174,3,FALSE)</f>
        <v>0</v>
      </c>
      <c r="W69" s="25">
        <f>'Small Dist Weight'!V68-Calculations!D69</f>
        <v>0</v>
      </c>
      <c r="X69" s="25">
        <f>IF(settings!$P$9=0,'Large District Weight'!H68*'Large District Weight'!G68,0)</f>
        <v>0</v>
      </c>
      <c r="Y69" s="25">
        <f t="shared" si="13"/>
        <v>2636.8399999999997</v>
      </c>
      <c r="Z69" s="25">
        <f>IF(settings!$F$13=0,'Teacher Exp'!L69,0)</f>
        <v>34.543280170104431</v>
      </c>
      <c r="AA69" s="25">
        <f t="shared" si="14"/>
        <v>2671.3832801701042</v>
      </c>
      <c r="AC69" s="26">
        <f>'Student Enrollment Data'!BU70</f>
        <v>155</v>
      </c>
      <c r="AD69" s="26">
        <f t="shared" si="15"/>
        <v>224.5</v>
      </c>
      <c r="AE69" s="26">
        <f>AD69*'Front page'!$B$16</f>
        <v>4.49</v>
      </c>
      <c r="AG69" s="6">
        <f>M69*'Front page'!$E$3</f>
        <v>9511596.8502093758</v>
      </c>
      <c r="AH69" s="6">
        <f>N69*'Front page'!$E$3</f>
        <v>241497.11379150755</v>
      </c>
      <c r="AI69" s="6">
        <f>O69*'Front page'!$E$3</f>
        <v>334706.52613208944</v>
      </c>
      <c r="AJ69" s="6">
        <f>P69*'Front page'!$E$3</f>
        <v>735295.15962309018</v>
      </c>
      <c r="AK69" s="6">
        <f>Q69*'Front page'!$E$3</f>
        <v>297422.76119585667</v>
      </c>
      <c r="AL69" s="6">
        <f>S69*'Front page'!$E$3</f>
        <v>32199.615172201007</v>
      </c>
      <c r="AM69" s="5">
        <f>Z69*'Front page'!$E$3</f>
        <v>146352.67477143221</v>
      </c>
      <c r="AN69" s="6">
        <f>T69*'Front page'!$E$3</f>
        <v>19023.193700418753</v>
      </c>
      <c r="AO69" s="6">
        <f>U69*'Front page'!$E$3</f>
        <v>0</v>
      </c>
      <c r="AP69" s="6">
        <f>W69*'Front page'!$E$3</f>
        <v>0</v>
      </c>
      <c r="AQ69" s="6">
        <f>V69*'Front page'!$E$3</f>
        <v>0</v>
      </c>
      <c r="AR69" s="6">
        <f>X69*'Front page'!$E$3</f>
        <v>0</v>
      </c>
      <c r="AS69" s="6">
        <f t="shared" si="16"/>
        <v>11318093.894595971</v>
      </c>
      <c r="AT69" s="7">
        <f>IF(AS69&gt;'Funding Comparison'!D69*(1+'Front page'!$H$10),'Funding Comparison'!D69*(1+'Front page'!$H$10),AS69)</f>
        <v>11318093.894595971</v>
      </c>
    </row>
    <row r="70" spans="1:46">
      <c r="A70" t="str">
        <f t="shared" si="9"/>
        <v>282</v>
      </c>
      <c r="B70">
        <f t="shared" si="11"/>
        <v>282</v>
      </c>
      <c r="C70" s="15" t="s">
        <v>79</v>
      </c>
      <c r="D70">
        <f>IF(settings!$G$4=0,'Student Enrollment Data'!AX71,'Student Enrollment Data'!CK71)</f>
        <v>282</v>
      </c>
      <c r="E70">
        <f>IF(settings!$G$4=0,'Student Enrollment Data'!AY71,'Student Enrollment Data'!CL71)</f>
        <v>79</v>
      </c>
      <c r="F70">
        <f>IF(settings!$G$4=0,'Student Enrollment Data'!AZ71,'Student Enrollment Data'!CM71)</f>
        <v>103</v>
      </c>
      <c r="G70" s="25">
        <f>'Student Enrollment Data'!BK71</f>
        <v>28</v>
      </c>
      <c r="H70">
        <f>'Student Enrollment Data'!BF71</f>
        <v>57</v>
      </c>
      <c r="I70">
        <f>SUM('Student Enrollment Data'!R71:X71,'Student Enrollment Data'!AQ71:AW71)</f>
        <v>0</v>
      </c>
      <c r="J70">
        <f>'Student Enrollment Data'!BS71</f>
        <v>0</v>
      </c>
      <c r="K70">
        <f t="shared" si="12"/>
        <v>28.200000000000003</v>
      </c>
      <c r="M70" s="30">
        <f t="shared" si="10"/>
        <v>282</v>
      </c>
      <c r="N70" s="30">
        <f>E70*'Front page'!$B$20</f>
        <v>7.9</v>
      </c>
      <c r="O70" s="30">
        <f>F70*'Front page'!$B$21</f>
        <v>10.3</v>
      </c>
      <c r="P70">
        <f>G70*'Front page'!$B$18</f>
        <v>18.2</v>
      </c>
      <c r="Q70" s="30">
        <f>IF(settings!$B$4=0,Calculations!H70,Calculations!I70) *'Front page'!$B$11</f>
        <v>5.7</v>
      </c>
      <c r="R70" s="31">
        <f>ROUND(I70*'Front page'!$B$9,2)</f>
        <v>0</v>
      </c>
      <c r="S70" s="30">
        <f>J70*'Front page'!$B$14</f>
        <v>0</v>
      </c>
      <c r="T70" s="103">
        <f>'Front page'!$B$16*Calculations!K70</f>
        <v>0.56400000000000006</v>
      </c>
      <c r="U70" s="103">
        <f>IF(settings!$B$13=0,(Calculations!M70*'District Wealth Adjustment'!M69)-Calculations!M70,0)</f>
        <v>0</v>
      </c>
      <c r="V70" s="185">
        <f>VLOOKUP(B70,'Remote School Building Weight'!$M$2:$P$174,3,FALSE)</f>
        <v>0</v>
      </c>
      <c r="W70" s="25">
        <f>'Small Dist Weight'!V69-Calculations!D70</f>
        <v>169.99730407523509</v>
      </c>
      <c r="X70" s="25">
        <f>IF(settings!$P$9=0,'Large District Weight'!H69*'Large District Weight'!G69,0)</f>
        <v>0</v>
      </c>
      <c r="Y70" s="25">
        <f t="shared" si="13"/>
        <v>494.66130407523508</v>
      </c>
      <c r="Z70" s="25">
        <f>IF(settings!$F$13=0,'Teacher Exp'!L70,0)</f>
        <v>16.739512699075025</v>
      </c>
      <c r="AA70" s="25">
        <f t="shared" si="14"/>
        <v>511.4008167743101</v>
      </c>
      <c r="AC70" s="26">
        <f>'Student Enrollment Data'!BU71</f>
        <v>13</v>
      </c>
      <c r="AD70" s="26">
        <f t="shared" si="15"/>
        <v>28.200000000000003</v>
      </c>
      <c r="AE70" s="26">
        <f>AD70*'Front page'!$B$16</f>
        <v>0.56400000000000006</v>
      </c>
      <c r="AG70" s="6">
        <f>M70*'Front page'!$E$3</f>
        <v>1194775.1945474583</v>
      </c>
      <c r="AH70" s="6">
        <f>N70*'Front page'!$E$3</f>
        <v>33470.652613208942</v>
      </c>
      <c r="AI70" s="6">
        <f>O70*'Front page'!$E$3</f>
        <v>43638.952141272421</v>
      </c>
      <c r="AJ70" s="6">
        <f>P70*'Front page'!$E$3</f>
        <v>77109.604754481348</v>
      </c>
      <c r="AK70" s="6">
        <f>Q70*'Front page'!$E$3</f>
        <v>24149.711379150755</v>
      </c>
      <c r="AL70" s="6">
        <f>S70*'Front page'!$E$3</f>
        <v>0</v>
      </c>
      <c r="AM70" s="5">
        <f>Z70*'Front page'!$E$3</f>
        <v>70921.82461584048</v>
      </c>
      <c r="AN70" s="6">
        <f>T70*'Front page'!$E$3</f>
        <v>2389.5503890949171</v>
      </c>
      <c r="AO70" s="6">
        <f>U70*'Front page'!$E$3</f>
        <v>0</v>
      </c>
      <c r="AP70" s="6">
        <f>W70*'Front page'!$E$3</f>
        <v>720243.12783344835</v>
      </c>
      <c r="AQ70" s="6">
        <f>V70*'Front page'!$E$3</f>
        <v>0</v>
      </c>
      <c r="AR70" s="6">
        <f>X70*'Front page'!$E$3</f>
        <v>0</v>
      </c>
      <c r="AS70" s="6">
        <f t="shared" si="16"/>
        <v>2166698.6182739558</v>
      </c>
      <c r="AT70" s="7">
        <f>IF(AS70&gt;'Funding Comparison'!D70*(1+'Front page'!$H$10),'Funding Comparison'!D70*(1+'Front page'!$H$10),AS70)</f>
        <v>2166698.6182739558</v>
      </c>
    </row>
    <row r="71" spans="1:46">
      <c r="A71" t="str">
        <f t="shared" si="9"/>
        <v>283</v>
      </c>
      <c r="B71">
        <f t="shared" si="11"/>
        <v>283</v>
      </c>
      <c r="C71" s="15" t="s">
        <v>80</v>
      </c>
      <c r="D71">
        <f>IF(settings!$G$4=0,'Student Enrollment Data'!AX72,'Student Enrollment Data'!CK72)</f>
        <v>225</v>
      </c>
      <c r="E71">
        <f>IF(settings!$G$4=0,'Student Enrollment Data'!AY72,'Student Enrollment Data'!CL72)</f>
        <v>62</v>
      </c>
      <c r="F71">
        <f>IF(settings!$G$4=0,'Student Enrollment Data'!AZ72,'Student Enrollment Data'!CM72)</f>
        <v>54</v>
      </c>
      <c r="G71" s="25">
        <f>'Student Enrollment Data'!BK72</f>
        <v>39</v>
      </c>
      <c r="H71">
        <f>'Student Enrollment Data'!BF72</f>
        <v>85</v>
      </c>
      <c r="I71">
        <f>SUM('Student Enrollment Data'!R72:X72,'Student Enrollment Data'!AQ72:AW72)</f>
        <v>0</v>
      </c>
      <c r="J71">
        <f>'Student Enrollment Data'!BS72</f>
        <v>0</v>
      </c>
      <c r="K71">
        <f t="shared" si="12"/>
        <v>22.5</v>
      </c>
      <c r="M71" s="30">
        <f t="shared" si="10"/>
        <v>225</v>
      </c>
      <c r="N71" s="30">
        <f>E71*'Front page'!$B$20</f>
        <v>6.2</v>
      </c>
      <c r="O71" s="30">
        <f>F71*'Front page'!$B$21</f>
        <v>5.4</v>
      </c>
      <c r="P71">
        <f>G71*'Front page'!$B$18</f>
        <v>25.35</v>
      </c>
      <c r="Q71" s="30">
        <f>IF(settings!$B$4=0,Calculations!H71,Calculations!I71) *'Front page'!$B$11</f>
        <v>8.5</v>
      </c>
      <c r="R71" s="31">
        <f>ROUND(I71*'Front page'!$B$9,2)</f>
        <v>0</v>
      </c>
      <c r="S71" s="30">
        <f>J71*'Front page'!$B$14</f>
        <v>0</v>
      </c>
      <c r="T71" s="103">
        <f>'Front page'!$B$16*Calculations!K71</f>
        <v>0.45</v>
      </c>
      <c r="U71" s="103">
        <f>IF(settings!$B$13=0,(Calculations!M71*'District Wealth Adjustment'!M70)-Calculations!M71,0)</f>
        <v>0</v>
      </c>
      <c r="V71" s="185">
        <f>VLOOKUP(B71,'Remote School Building Weight'!$M$2:$P$174,3,FALSE)</f>
        <v>0</v>
      </c>
      <c r="W71" s="25">
        <f>'Small Dist Weight'!V70-Calculations!D71</f>
        <v>146.10018808777431</v>
      </c>
      <c r="X71" s="25">
        <f>IF(settings!$P$9=0,'Large District Weight'!H70*'Large District Weight'!G70,0)</f>
        <v>0</v>
      </c>
      <c r="Y71" s="25">
        <f t="shared" si="13"/>
        <v>417.00018808777429</v>
      </c>
      <c r="Z71" s="25">
        <f>IF(settings!$F$13=0,'Teacher Exp'!L71,0)</f>
        <v>6.8031241600194114</v>
      </c>
      <c r="AA71" s="25">
        <f t="shared" si="14"/>
        <v>423.80331224779371</v>
      </c>
      <c r="AC71" s="26">
        <f>'Student Enrollment Data'!BU72</f>
        <v>7</v>
      </c>
      <c r="AD71" s="26">
        <f t="shared" si="15"/>
        <v>22.5</v>
      </c>
      <c r="AE71" s="26">
        <f>AD71*'Front page'!$B$16</f>
        <v>0.45</v>
      </c>
      <c r="AG71" s="6">
        <f>M71*'Front page'!$E$3</f>
        <v>953278.08075595088</v>
      </c>
      <c r="AH71" s="6">
        <f>N71*'Front page'!$E$3</f>
        <v>26268.10711416398</v>
      </c>
      <c r="AI71" s="6">
        <f>O71*'Front page'!$E$3</f>
        <v>22878.673938142823</v>
      </c>
      <c r="AJ71" s="6">
        <f>P71*'Front page'!$E$3</f>
        <v>107402.66376517047</v>
      </c>
      <c r="AK71" s="6">
        <f>Q71*'Front page'!$E$3</f>
        <v>36012.727495224812</v>
      </c>
      <c r="AL71" s="6">
        <f>S71*'Front page'!$E$3</f>
        <v>0</v>
      </c>
      <c r="AM71" s="5">
        <f>Z71*'Front page'!$E$3</f>
        <v>28823.418410701088</v>
      </c>
      <c r="AN71" s="6">
        <f>T71*'Front page'!$E$3</f>
        <v>1906.5561615119018</v>
      </c>
      <c r="AO71" s="6">
        <f>U71*'Front page'!$E$3</f>
        <v>0</v>
      </c>
      <c r="AP71" s="6">
        <f>W71*'Front page'!$E$3</f>
        <v>618996.03065954195</v>
      </c>
      <c r="AQ71" s="6">
        <f>V71*'Front page'!$E$3</f>
        <v>0</v>
      </c>
      <c r="AR71" s="6">
        <f>X71*'Front page'!$E$3</f>
        <v>0</v>
      </c>
      <c r="AS71" s="6">
        <f t="shared" si="16"/>
        <v>1795566.2583004078</v>
      </c>
      <c r="AT71" s="7">
        <f>IF(AS71&gt;'Funding Comparison'!D71*(1+'Front page'!$H$10),'Funding Comparison'!D71*(1+'Front page'!$H$10),AS71)</f>
        <v>1795566.2583004078</v>
      </c>
    </row>
    <row r="72" spans="1:46">
      <c r="A72" t="str">
        <f t="shared" si="9"/>
        <v>285</v>
      </c>
      <c r="B72">
        <f t="shared" si="11"/>
        <v>285</v>
      </c>
      <c r="C72" s="15" t="s">
        <v>81</v>
      </c>
      <c r="D72">
        <f>IF(settings!$G$4=0,'Student Enrollment Data'!AX73,'Student Enrollment Data'!CK73)</f>
        <v>446.5</v>
      </c>
      <c r="E72">
        <f>IF(settings!$G$4=0,'Student Enrollment Data'!AY73,'Student Enrollment Data'!CL73)</f>
        <v>123.5</v>
      </c>
      <c r="F72">
        <f>IF(settings!$G$4=0,'Student Enrollment Data'!AZ73,'Student Enrollment Data'!CM73)</f>
        <v>139</v>
      </c>
      <c r="G72" s="25">
        <f>'Student Enrollment Data'!BK73</f>
        <v>59</v>
      </c>
      <c r="H72">
        <f>'Student Enrollment Data'!BF73</f>
        <v>147</v>
      </c>
      <c r="I72">
        <f>SUM('Student Enrollment Data'!R73:X73,'Student Enrollment Data'!AQ73:AW73)</f>
        <v>0</v>
      </c>
      <c r="J72">
        <f>'Student Enrollment Data'!BS73</f>
        <v>0</v>
      </c>
      <c r="K72">
        <f t="shared" si="12"/>
        <v>44.650000000000006</v>
      </c>
      <c r="M72" s="30">
        <f t="shared" si="10"/>
        <v>446.5</v>
      </c>
      <c r="N72" s="30">
        <f>E72*'Front page'!$B$20</f>
        <v>12.350000000000001</v>
      </c>
      <c r="O72" s="30">
        <f>F72*'Front page'!$B$21</f>
        <v>13.9</v>
      </c>
      <c r="P72">
        <f>G72*'Front page'!$B$18</f>
        <v>38.35</v>
      </c>
      <c r="Q72" s="30">
        <f>IF(settings!$B$4=0,Calculations!H72,Calculations!I72) *'Front page'!$B$11</f>
        <v>14.700000000000001</v>
      </c>
      <c r="R72" s="31">
        <f>ROUND(I72*'Front page'!$B$9,2)</f>
        <v>0</v>
      </c>
      <c r="S72" s="30">
        <f>J72*'Front page'!$B$14</f>
        <v>0</v>
      </c>
      <c r="T72" s="103">
        <f>'Front page'!$B$16*Calculations!K72</f>
        <v>0.89300000000000013</v>
      </c>
      <c r="U72" s="103">
        <f>IF(settings!$B$13=0,(Calculations!M72*'District Wealth Adjustment'!M71)-Calculations!M72,0)</f>
        <v>0</v>
      </c>
      <c r="V72" s="185">
        <f>VLOOKUP(B72,'Remote School Building Weight'!$M$2:$P$174,3,FALSE)</f>
        <v>0</v>
      </c>
      <c r="W72" s="25">
        <f>'Small Dist Weight'!V71-Calculations!D72</f>
        <v>178.34391261755491</v>
      </c>
      <c r="X72" s="25">
        <f>IF(settings!$P$9=0,'Large District Weight'!H71*'Large District Weight'!G71,0)</f>
        <v>0</v>
      </c>
      <c r="Y72" s="25">
        <f t="shared" si="13"/>
        <v>705.036912617555</v>
      </c>
      <c r="Z72" s="25">
        <f>IF(settings!$F$13=0,'Teacher Exp'!L72,0)</f>
        <v>2.2681969069643437</v>
      </c>
      <c r="AA72" s="25">
        <f t="shared" si="14"/>
        <v>707.30510952451937</v>
      </c>
      <c r="AC72" s="26">
        <f>'Student Enrollment Data'!BU73</f>
        <v>3</v>
      </c>
      <c r="AD72" s="26">
        <f t="shared" si="15"/>
        <v>44.650000000000006</v>
      </c>
      <c r="AE72" s="26">
        <f>AD72*'Front page'!$B$16</f>
        <v>0.89300000000000013</v>
      </c>
      <c r="AG72" s="6">
        <f>M72*'Front page'!$E$3</f>
        <v>1891727.3913668091</v>
      </c>
      <c r="AH72" s="6">
        <f>N72*'Front page'!$E$3</f>
        <v>52324.374654826643</v>
      </c>
      <c r="AI72" s="6">
        <f>O72*'Front page'!$E$3</f>
        <v>58891.401433367631</v>
      </c>
      <c r="AJ72" s="6">
        <f>P72*'Front page'!$E$3</f>
        <v>162480.95287551428</v>
      </c>
      <c r="AK72" s="6">
        <f>Q72*'Front page'!$E$3</f>
        <v>62280.834609388796</v>
      </c>
      <c r="AL72" s="6">
        <f>S72*'Front page'!$E$3</f>
        <v>0</v>
      </c>
      <c r="AM72" s="5">
        <f>Z72*'Front page'!$E$3</f>
        <v>9609.8773077669048</v>
      </c>
      <c r="AN72" s="6">
        <f>T72*'Front page'!$E$3</f>
        <v>3783.4547827336187</v>
      </c>
      <c r="AO72" s="6">
        <f>U72*'Front page'!$E$3</f>
        <v>0</v>
      </c>
      <c r="AP72" s="6">
        <f>W72*'Front page'!$E$3</f>
        <v>755605.96770919883</v>
      </c>
      <c r="AQ72" s="6">
        <f>V72*'Front page'!$E$3</f>
        <v>0</v>
      </c>
      <c r="AR72" s="6">
        <f>X72*'Front page'!$E$3</f>
        <v>0</v>
      </c>
      <c r="AS72" s="6">
        <f t="shared" si="16"/>
        <v>2996704.2547396068</v>
      </c>
      <c r="AT72" s="7">
        <f>IF(AS72&gt;'Funding Comparison'!D72*(1+'Front page'!$H$10),'Funding Comparison'!D72*(1+'Front page'!$H$10),AS72)</f>
        <v>2996704.2547396068</v>
      </c>
    </row>
    <row r="73" spans="1:46">
      <c r="A73" t="str">
        <f t="shared" si="9"/>
        <v>287</v>
      </c>
      <c r="B73">
        <f t="shared" si="11"/>
        <v>287</v>
      </c>
      <c r="C73" s="15" t="s">
        <v>82</v>
      </c>
      <c r="D73">
        <f>IF(settings!$G$4=0,'Student Enrollment Data'!AX74,'Student Enrollment Data'!CK74)</f>
        <v>261.5</v>
      </c>
      <c r="E73">
        <f>IF(settings!$G$4=0,'Student Enrollment Data'!AY74,'Student Enrollment Data'!CL74)</f>
        <v>67.5</v>
      </c>
      <c r="F73">
        <f>IF(settings!$G$4=0,'Student Enrollment Data'!AZ74,'Student Enrollment Data'!CM74)</f>
        <v>87</v>
      </c>
      <c r="G73" s="25">
        <f>'Student Enrollment Data'!BK74</f>
        <v>30</v>
      </c>
      <c r="H73">
        <f>'Student Enrollment Data'!BF74</f>
        <v>73</v>
      </c>
      <c r="I73">
        <f>SUM('Student Enrollment Data'!R74:X74,'Student Enrollment Data'!AQ74:AW74)</f>
        <v>0</v>
      </c>
      <c r="J73">
        <f>'Student Enrollment Data'!BS74</f>
        <v>0</v>
      </c>
      <c r="K73">
        <f t="shared" si="12"/>
        <v>26.150000000000002</v>
      </c>
      <c r="M73" s="30">
        <f t="shared" si="10"/>
        <v>261.5</v>
      </c>
      <c r="N73" s="30">
        <f>E73*'Front page'!$B$20</f>
        <v>6.75</v>
      </c>
      <c r="O73" s="30">
        <f>F73*'Front page'!$B$21</f>
        <v>8.7000000000000011</v>
      </c>
      <c r="P73">
        <f>G73*'Front page'!$B$18</f>
        <v>19.5</v>
      </c>
      <c r="Q73" s="30">
        <f>IF(settings!$B$4=0,Calculations!H73,Calculations!I73) *'Front page'!$B$11</f>
        <v>7.3000000000000007</v>
      </c>
      <c r="R73" s="31">
        <f>ROUND(I73*'Front page'!$B$9,2)</f>
        <v>0</v>
      </c>
      <c r="S73" s="30">
        <f>J73*'Front page'!$B$14</f>
        <v>0</v>
      </c>
      <c r="T73" s="103">
        <f>'Front page'!$B$16*Calculations!K73</f>
        <v>0.52300000000000002</v>
      </c>
      <c r="U73" s="103">
        <f>IF(settings!$B$13=0,(Calculations!M73*'District Wealth Adjustment'!M72)-Calculations!M73,0)</f>
        <v>0</v>
      </c>
      <c r="V73" s="185">
        <f>VLOOKUP(B73,'Remote School Building Weight'!$M$2:$P$174,3,FALSE)</f>
        <v>0</v>
      </c>
      <c r="W73" s="25">
        <f>'Small Dist Weight'!V72-Calculations!D73</f>
        <v>162.22693377742951</v>
      </c>
      <c r="X73" s="25">
        <f>IF(settings!$P$9=0,'Large District Weight'!H72*'Large District Weight'!G72,0)</f>
        <v>0</v>
      </c>
      <c r="Y73" s="25">
        <f t="shared" si="13"/>
        <v>466.49993377742953</v>
      </c>
      <c r="Z73" s="25">
        <f>IF(settings!$F$13=0,'Teacher Exp'!L73,0)</f>
        <v>0</v>
      </c>
      <c r="AA73" s="25">
        <f t="shared" si="14"/>
        <v>466.49993377742953</v>
      </c>
      <c r="AC73" s="26">
        <f>'Student Enrollment Data'!BU74</f>
        <v>10</v>
      </c>
      <c r="AD73" s="26">
        <f t="shared" si="15"/>
        <v>26.150000000000002</v>
      </c>
      <c r="AE73" s="26">
        <f>AD73*'Front page'!$B$16</f>
        <v>0.52300000000000002</v>
      </c>
      <c r="AG73" s="6">
        <f>M73*'Front page'!$E$3</f>
        <v>1107920.9694119161</v>
      </c>
      <c r="AH73" s="6">
        <f>N73*'Front page'!$E$3</f>
        <v>28598.342422678525</v>
      </c>
      <c r="AI73" s="6">
        <f>O73*'Front page'!$E$3</f>
        <v>36860.085789230106</v>
      </c>
      <c r="AJ73" s="6">
        <f>P73*'Front page'!$E$3</f>
        <v>82617.433665515739</v>
      </c>
      <c r="AK73" s="6">
        <f>Q73*'Front page'!$E$3</f>
        <v>30928.577731193076</v>
      </c>
      <c r="AL73" s="6">
        <f>S73*'Front page'!$E$3</f>
        <v>0</v>
      </c>
      <c r="AM73" s="5">
        <f>Z73*'Front page'!$E$3</f>
        <v>0</v>
      </c>
      <c r="AN73" s="6">
        <f>T73*'Front page'!$E$3</f>
        <v>2215.8419388238326</v>
      </c>
      <c r="AO73" s="6">
        <f>U73*'Front page'!$E$3</f>
        <v>0</v>
      </c>
      <c r="AP73" s="6">
        <f>W73*'Front page'!$E$3</f>
        <v>687321.68923675886</v>
      </c>
      <c r="AQ73" s="6">
        <f>V73*'Front page'!$E$3</f>
        <v>0</v>
      </c>
      <c r="AR73" s="6">
        <f>X73*'Front page'!$E$3</f>
        <v>0</v>
      </c>
      <c r="AS73" s="6">
        <f t="shared" si="16"/>
        <v>1976462.9401961165</v>
      </c>
      <c r="AT73" s="7">
        <f>IF(AS73&gt;'Funding Comparison'!D73*(1+'Front page'!$H$10),'Funding Comparison'!D73*(1+'Front page'!$H$10),AS73)</f>
        <v>1976462.9401961165</v>
      </c>
    </row>
    <row r="74" spans="1:46">
      <c r="A74" t="str">
        <f t="shared" si="9"/>
        <v>288</v>
      </c>
      <c r="B74">
        <f t="shared" si="11"/>
        <v>288</v>
      </c>
      <c r="C74" s="15" t="s">
        <v>83</v>
      </c>
      <c r="D74">
        <f>IF(settings!$G$4=0,'Student Enrollment Data'!AX75,'Student Enrollment Data'!CK75)</f>
        <v>232.5</v>
      </c>
      <c r="E74">
        <f>IF(settings!$G$4=0,'Student Enrollment Data'!AY75,'Student Enrollment Data'!CL75)</f>
        <v>57.5</v>
      </c>
      <c r="F74">
        <f>IF(settings!$G$4=0,'Student Enrollment Data'!AZ75,'Student Enrollment Data'!CM75)</f>
        <v>73</v>
      </c>
      <c r="G74" s="25">
        <f>'Student Enrollment Data'!BK75</f>
        <v>33</v>
      </c>
      <c r="H74">
        <f>'Student Enrollment Data'!BF75</f>
        <v>119</v>
      </c>
      <c r="I74">
        <f>SUM('Student Enrollment Data'!R75:X75,'Student Enrollment Data'!AQ75:AW75)</f>
        <v>0</v>
      </c>
      <c r="J74">
        <f>'Student Enrollment Data'!BS75</f>
        <v>0</v>
      </c>
      <c r="K74">
        <f t="shared" si="12"/>
        <v>23.25</v>
      </c>
      <c r="M74" s="30">
        <f t="shared" si="10"/>
        <v>232.5</v>
      </c>
      <c r="N74" s="30">
        <f>E74*'Front page'!$B$20</f>
        <v>5.75</v>
      </c>
      <c r="O74" s="30">
        <f>F74*'Front page'!$B$21</f>
        <v>7.3000000000000007</v>
      </c>
      <c r="P74">
        <f>G74*'Front page'!$B$18</f>
        <v>21.45</v>
      </c>
      <c r="Q74" s="30">
        <f>IF(settings!$B$4=0,Calculations!H74,Calculations!I74) *'Front page'!$B$11</f>
        <v>11.9</v>
      </c>
      <c r="R74" s="31">
        <f>ROUND(I74*'Front page'!$B$9,2)</f>
        <v>0</v>
      </c>
      <c r="S74" s="30">
        <f>J74*'Front page'!$B$14</f>
        <v>0</v>
      </c>
      <c r="T74" s="103">
        <f>'Front page'!$B$16*Calculations!K74</f>
        <v>0.46500000000000002</v>
      </c>
      <c r="U74" s="103">
        <f>IF(settings!$B$13=0,(Calculations!M74*'District Wealth Adjustment'!M73)-Calculations!M74,0)</f>
        <v>0</v>
      </c>
      <c r="V74" s="185">
        <f>VLOOKUP(B74,'Remote School Building Weight'!$M$2:$P$174,3,FALSE)</f>
        <v>49.074757147151615</v>
      </c>
      <c r="W74" s="25">
        <f>'Small Dist Weight'!V73-Calculations!D74</f>
        <v>155.67381465517246</v>
      </c>
      <c r="X74" s="25">
        <f>IF(settings!$P$9=0,'Large District Weight'!H73*'Large District Weight'!G73,0)</f>
        <v>0</v>
      </c>
      <c r="Y74" s="25">
        <f t="shared" si="13"/>
        <v>484.11357180232403</v>
      </c>
      <c r="Z74" s="25">
        <f>IF(settings!$F$13=0,'Teacher Exp'!L74,0)</f>
        <v>4.8461401935818715</v>
      </c>
      <c r="AA74" s="25">
        <f t="shared" si="14"/>
        <v>488.95971199590588</v>
      </c>
      <c r="AC74" s="26">
        <f>'Student Enrollment Data'!BU75</f>
        <v>8</v>
      </c>
      <c r="AD74" s="26">
        <f t="shared" si="15"/>
        <v>23.25</v>
      </c>
      <c r="AE74" s="26">
        <f>AD74*'Front page'!$B$16</f>
        <v>0.46500000000000002</v>
      </c>
      <c r="AG74" s="6">
        <f>M74*'Front page'!$E$3</f>
        <v>985054.0167811492</v>
      </c>
      <c r="AH74" s="6">
        <f>N74*'Front page'!$E$3</f>
        <v>24361.550952652076</v>
      </c>
      <c r="AI74" s="6">
        <f>O74*'Front page'!$E$3</f>
        <v>30928.577731193076</v>
      </c>
      <c r="AJ74" s="6">
        <f>P74*'Front page'!$E$3</f>
        <v>90879.177032067309</v>
      </c>
      <c r="AK74" s="6">
        <f>Q74*'Front page'!$E$3</f>
        <v>50417.818493314735</v>
      </c>
      <c r="AL74" s="6">
        <f>S74*'Front page'!$E$3</f>
        <v>0</v>
      </c>
      <c r="AM74" s="5">
        <f>Z74*'Front page'!$E$3</f>
        <v>20532.085434719993</v>
      </c>
      <c r="AN74" s="6">
        <f>T74*'Front page'!$E$3</f>
        <v>1970.1080335622985</v>
      </c>
      <c r="AO74" s="6">
        <f>U74*'Front page'!$E$3</f>
        <v>0</v>
      </c>
      <c r="AP74" s="6">
        <f>W74*'Front page'!$E$3</f>
        <v>659557.49003751297</v>
      </c>
      <c r="AQ74" s="6">
        <f>V74*'Front page'!$E$3</f>
        <v>207919.51247467144</v>
      </c>
      <c r="AR74" s="6">
        <f>X74*'Front page'!$E$3</f>
        <v>0</v>
      </c>
      <c r="AS74" s="6">
        <f t="shared" si="16"/>
        <v>2071620.3369708431</v>
      </c>
      <c r="AT74" s="7">
        <f>IF(AS74&gt;'Funding Comparison'!D74*(1+'Front page'!$H$10),'Funding Comparison'!D74*(1+'Front page'!$H$10),AS74)</f>
        <v>2071620.3369708431</v>
      </c>
    </row>
    <row r="75" spans="1:46">
      <c r="A75" t="str">
        <f t="shared" si="9"/>
        <v>291</v>
      </c>
      <c r="B75">
        <f t="shared" si="11"/>
        <v>291</v>
      </c>
      <c r="C75" s="15" t="s">
        <v>84</v>
      </c>
      <c r="D75">
        <f>IF(settings!$G$4=0,'Student Enrollment Data'!AX76,'Student Enrollment Data'!CK76)</f>
        <v>751.5</v>
      </c>
      <c r="E75">
        <f>IF(settings!$G$4=0,'Student Enrollment Data'!AY76,'Student Enrollment Data'!CL76)</f>
        <v>195.5</v>
      </c>
      <c r="F75">
        <f>IF(settings!$G$4=0,'Student Enrollment Data'!AZ76,'Student Enrollment Data'!CM76)</f>
        <v>277</v>
      </c>
      <c r="G75" s="25">
        <f>'Student Enrollment Data'!BK76</f>
        <v>106</v>
      </c>
      <c r="H75">
        <f>'Student Enrollment Data'!BF76</f>
        <v>424</v>
      </c>
      <c r="I75">
        <f>SUM('Student Enrollment Data'!R76:X76,'Student Enrollment Data'!AQ76:AW76)</f>
        <v>5.9693278606271836</v>
      </c>
      <c r="J75">
        <f>'Student Enrollment Data'!BS76</f>
        <v>62.144396222798392</v>
      </c>
      <c r="K75">
        <f t="shared" si="12"/>
        <v>75.150000000000006</v>
      </c>
      <c r="M75" s="30">
        <f t="shared" si="10"/>
        <v>751.5</v>
      </c>
      <c r="N75" s="30">
        <f>E75*'Front page'!$B$20</f>
        <v>19.55</v>
      </c>
      <c r="O75" s="30">
        <f>F75*'Front page'!$B$21</f>
        <v>27.700000000000003</v>
      </c>
      <c r="P75">
        <f>G75*'Front page'!$B$18</f>
        <v>68.900000000000006</v>
      </c>
      <c r="Q75" s="30">
        <f>IF(settings!$B$4=0,Calculations!H75,Calculations!I75) *'Front page'!$B$11</f>
        <v>42.400000000000006</v>
      </c>
      <c r="R75" s="31">
        <f>ROUND(I75*'Front page'!$B$9,2)</f>
        <v>0</v>
      </c>
      <c r="S75" s="30">
        <f>J75*'Front page'!$B$14</f>
        <v>6.2144396222798397</v>
      </c>
      <c r="T75" s="103">
        <f>'Front page'!$B$16*Calculations!K75</f>
        <v>1.5030000000000001</v>
      </c>
      <c r="U75" s="103">
        <f>IF(settings!$B$13=0,(Calculations!M75*'District Wealth Adjustment'!M74)-Calculations!M75,0)</f>
        <v>0</v>
      </c>
      <c r="V75" s="185">
        <f>VLOOKUP(B75,'Remote School Building Weight'!$M$2:$P$174,3,FALSE)</f>
        <v>0</v>
      </c>
      <c r="W75" s="25">
        <f>'Small Dist Weight'!V74-Calculations!D75</f>
        <v>131.90896551724143</v>
      </c>
      <c r="X75" s="25">
        <f>IF(settings!$P$9=0,'Large District Weight'!H74*'Large District Weight'!G74,0)</f>
        <v>0</v>
      </c>
      <c r="Y75" s="25">
        <f t="shared" si="13"/>
        <v>1049.6764051395212</v>
      </c>
      <c r="Z75" s="25">
        <f>IF(settings!$F$13=0,'Teacher Exp'!L75,0)</f>
        <v>12.279075558793553</v>
      </c>
      <c r="AA75" s="25">
        <f t="shared" si="14"/>
        <v>1061.9554806983147</v>
      </c>
      <c r="AC75" s="26">
        <f>'Student Enrollment Data'!BU76</f>
        <v>30</v>
      </c>
      <c r="AD75" s="26">
        <f t="shared" si="15"/>
        <v>75.150000000000006</v>
      </c>
      <c r="AE75" s="26">
        <f>AD75*'Front page'!$B$16</f>
        <v>1.5030000000000001</v>
      </c>
      <c r="AG75" s="6">
        <f>M75*'Front page'!$E$3</f>
        <v>3183948.7897248757</v>
      </c>
      <c r="AH75" s="6">
        <f>N75*'Front page'!$E$3</f>
        <v>82829.273239017071</v>
      </c>
      <c r="AI75" s="6">
        <f>O75*'Front page'!$E$3</f>
        <v>117359.12371973263</v>
      </c>
      <c r="AJ75" s="6">
        <f>P75*'Front page'!$E$3</f>
        <v>291914.93228482228</v>
      </c>
      <c r="AK75" s="6">
        <f>Q75*'Front page'!$E$3</f>
        <v>179639.95832912144</v>
      </c>
      <c r="AL75" s="6">
        <f>S75*'Front page'!$E$3</f>
        <v>26329.284782669609</v>
      </c>
      <c r="AM75" s="5">
        <f>Z75*'Front page'!$E$3</f>
        <v>52023.882587306769</v>
      </c>
      <c r="AN75" s="6">
        <f>T75*'Front page'!$E$3</f>
        <v>6367.8975794497519</v>
      </c>
      <c r="AO75" s="6">
        <f>U75*'Front page'!$E$3</f>
        <v>0</v>
      </c>
      <c r="AP75" s="6">
        <f>W75*'Front page'!$E$3</f>
        <v>558870.77992346138</v>
      </c>
      <c r="AQ75" s="6">
        <f>V75*'Front page'!$E$3</f>
        <v>0</v>
      </c>
      <c r="AR75" s="6">
        <f>X75*'Front page'!$E$3</f>
        <v>0</v>
      </c>
      <c r="AS75" s="6">
        <f t="shared" si="16"/>
        <v>4499283.9221704565</v>
      </c>
      <c r="AT75" s="7">
        <f>IF(AS75&gt;'Funding Comparison'!D75*(1+'Front page'!$H$10),'Funding Comparison'!D75*(1+'Front page'!$H$10),AS75)</f>
        <v>4499283.9221704565</v>
      </c>
    </row>
    <row r="76" spans="1:46">
      <c r="A76" t="str">
        <f t="shared" si="9"/>
        <v>292</v>
      </c>
      <c r="B76">
        <f t="shared" si="11"/>
        <v>292</v>
      </c>
      <c r="C76" s="15" t="s">
        <v>85</v>
      </c>
      <c r="D76">
        <f>IF(settings!$G$4=0,'Student Enrollment Data'!AX77,'Student Enrollment Data'!CK77)</f>
        <v>99.5</v>
      </c>
      <c r="E76">
        <f>IF(settings!$G$4=0,'Student Enrollment Data'!AY77,'Student Enrollment Data'!CL77)</f>
        <v>36.5</v>
      </c>
      <c r="F76">
        <f>IF(settings!$G$4=0,'Student Enrollment Data'!AZ77,'Student Enrollment Data'!CM77)</f>
        <v>20</v>
      </c>
      <c r="G76" s="25">
        <f>'Student Enrollment Data'!BK77</f>
        <v>9</v>
      </c>
      <c r="H76">
        <f>'Student Enrollment Data'!BF77</f>
        <v>54</v>
      </c>
      <c r="I76">
        <f>SUM('Student Enrollment Data'!R77:X77,'Student Enrollment Data'!AQ77:AW77)</f>
        <v>0</v>
      </c>
      <c r="J76">
        <f>'Student Enrollment Data'!BS77</f>
        <v>8.4450730197155419</v>
      </c>
      <c r="K76">
        <f t="shared" si="12"/>
        <v>9.9500000000000011</v>
      </c>
      <c r="M76" s="30">
        <f t="shared" si="10"/>
        <v>99.5</v>
      </c>
      <c r="N76" s="30">
        <f>E76*'Front page'!$B$20</f>
        <v>3.6500000000000004</v>
      </c>
      <c r="O76" s="30">
        <f>F76*'Front page'!$B$21</f>
        <v>2</v>
      </c>
      <c r="P76">
        <f>G76*'Front page'!$B$18</f>
        <v>5.8500000000000005</v>
      </c>
      <c r="Q76" s="30">
        <f>IF(settings!$B$4=0,Calculations!H76,Calculations!I76) *'Front page'!$B$11</f>
        <v>5.4</v>
      </c>
      <c r="R76" s="31">
        <f>ROUND(I76*'Front page'!$B$9,2)</f>
        <v>0</v>
      </c>
      <c r="S76" s="30">
        <f>J76*'Front page'!$B$14</f>
        <v>0.84450730197155421</v>
      </c>
      <c r="T76" s="103">
        <f>'Front page'!$B$16*Calculations!K76</f>
        <v>0.19900000000000004</v>
      </c>
      <c r="U76" s="103">
        <f>IF(settings!$B$13=0,(Calculations!M76*'District Wealth Adjustment'!M75)-Calculations!M76,0)</f>
        <v>0</v>
      </c>
      <c r="V76" s="185">
        <f>VLOOKUP(B76,'Remote School Building Weight'!$M$2:$P$174,3,FALSE)</f>
        <v>19.595552857365966</v>
      </c>
      <c r="W76" s="25">
        <f>'Small Dist Weight'!V75-Calculations!D76</f>
        <v>201.19535854231975</v>
      </c>
      <c r="X76" s="25">
        <f>IF(settings!$P$9=0,'Large District Weight'!H75*'Large District Weight'!G75,0)</f>
        <v>0</v>
      </c>
      <c r="Y76" s="25">
        <f t="shared" si="13"/>
        <v>338.23441870165732</v>
      </c>
      <c r="Z76" s="25">
        <f>IF(settings!$F$13=0,'Teacher Exp'!L76,0)</f>
        <v>0</v>
      </c>
      <c r="AA76" s="25">
        <f t="shared" si="14"/>
        <v>338.23441870165732</v>
      </c>
      <c r="AC76" s="26">
        <f>'Student Enrollment Data'!BU77</f>
        <v>0</v>
      </c>
      <c r="AD76" s="26">
        <f t="shared" si="15"/>
        <v>9.9500000000000011</v>
      </c>
      <c r="AE76" s="26">
        <f>AD76*'Front page'!$B$16</f>
        <v>0.19900000000000004</v>
      </c>
      <c r="AG76" s="6">
        <f>M76*'Front page'!$E$3</f>
        <v>421560.7512676316</v>
      </c>
      <c r="AH76" s="6">
        <f>N76*'Front page'!$E$3</f>
        <v>15464.288865596538</v>
      </c>
      <c r="AI76" s="6">
        <f>O76*'Front page'!$E$3</f>
        <v>8473.5829400528964</v>
      </c>
      <c r="AJ76" s="6">
        <f>P76*'Front page'!$E$3</f>
        <v>24785.230099654724</v>
      </c>
      <c r="AK76" s="6">
        <f>Q76*'Front page'!$E$3</f>
        <v>22878.673938142823</v>
      </c>
      <c r="AL76" s="6">
        <f>S76*'Front page'!$E$3</f>
        <v>3578.0013333681309</v>
      </c>
      <c r="AM76" s="5">
        <f>Z76*'Front page'!$E$3</f>
        <v>0</v>
      </c>
      <c r="AN76" s="6">
        <f>T76*'Front page'!$E$3</f>
        <v>843.1215025352634</v>
      </c>
      <c r="AO76" s="6">
        <f>U76*'Front page'!$E$3</f>
        <v>0</v>
      </c>
      <c r="AP76" s="6">
        <f>W76*'Front page'!$E$3</f>
        <v>852422.77888101328</v>
      </c>
      <c r="AQ76" s="6">
        <f>V76*'Front page'!$E$3</f>
        <v>83022.271196540518</v>
      </c>
      <c r="AR76" s="6">
        <f>X76*'Front page'!$E$3</f>
        <v>0</v>
      </c>
      <c r="AS76" s="6">
        <f t="shared" si="16"/>
        <v>1433028.7000245356</v>
      </c>
      <c r="AT76" s="7">
        <f>IF(AS76&gt;'Funding Comparison'!D76*(1+'Front page'!$H$10),'Funding Comparison'!D76*(1+'Front page'!$H$10),AS76)</f>
        <v>1433028.7000245356</v>
      </c>
    </row>
    <row r="77" spans="1:46">
      <c r="A77" t="str">
        <f t="shared" si="9"/>
        <v>302</v>
      </c>
      <c r="B77">
        <f t="shared" si="11"/>
        <v>302</v>
      </c>
      <c r="C77" s="15" t="s">
        <v>86</v>
      </c>
      <c r="D77">
        <f>IF(settings!$G$4=0,'Student Enrollment Data'!AX78,'Student Enrollment Data'!CK78)</f>
        <v>137</v>
      </c>
      <c r="E77">
        <f>IF(settings!$G$4=0,'Student Enrollment Data'!AY78,'Student Enrollment Data'!CL78)</f>
        <v>41</v>
      </c>
      <c r="F77">
        <f>IF(settings!$G$4=0,'Student Enrollment Data'!AZ78,'Student Enrollment Data'!CM78)</f>
        <v>39</v>
      </c>
      <c r="G77" s="25">
        <f>'Student Enrollment Data'!BK78</f>
        <v>12</v>
      </c>
      <c r="H77">
        <f>'Student Enrollment Data'!BF78</f>
        <v>58</v>
      </c>
      <c r="I77">
        <f>SUM('Student Enrollment Data'!R78:X78,'Student Enrollment Data'!AQ78:AW78)</f>
        <v>0</v>
      </c>
      <c r="J77">
        <f>'Student Enrollment Data'!BS78</f>
        <v>0</v>
      </c>
      <c r="K77">
        <f t="shared" si="12"/>
        <v>13.700000000000001</v>
      </c>
      <c r="M77" s="30">
        <f t="shared" si="10"/>
        <v>137</v>
      </c>
      <c r="N77" s="30">
        <f>E77*'Front page'!$B$20</f>
        <v>4.1000000000000005</v>
      </c>
      <c r="O77" s="30">
        <f>F77*'Front page'!$B$21</f>
        <v>3.9000000000000004</v>
      </c>
      <c r="P77">
        <f>G77*'Front page'!$B$18</f>
        <v>7.8000000000000007</v>
      </c>
      <c r="Q77" s="30">
        <f>IF(settings!$B$4=0,Calculations!H77,Calculations!I77) *'Front page'!$B$11</f>
        <v>5.8000000000000007</v>
      </c>
      <c r="R77" s="31">
        <f>ROUND(I77*'Front page'!$B$9,2)</f>
        <v>0</v>
      </c>
      <c r="S77" s="30">
        <f>J77*'Front page'!$B$14</f>
        <v>0</v>
      </c>
      <c r="T77" s="103">
        <f>'Front page'!$B$16*Calculations!K77</f>
        <v>0.27400000000000002</v>
      </c>
      <c r="U77" s="103">
        <f>IF(settings!$B$13=0,(Calculations!M77*'District Wealth Adjustment'!M76)-Calculations!M77,0)</f>
        <v>0</v>
      </c>
      <c r="V77" s="185">
        <f>VLOOKUP(B77,'Remote School Building Weight'!$M$2:$P$174,3,FALSE)</f>
        <v>0</v>
      </c>
      <c r="W77" s="25">
        <f>'Small Dist Weight'!V76-Calculations!D77</f>
        <v>174.1126880877743</v>
      </c>
      <c r="X77" s="25">
        <f>IF(settings!$P$9=0,'Large District Weight'!H76*'Large District Weight'!G76,0)</f>
        <v>0</v>
      </c>
      <c r="Y77" s="25">
        <f t="shared" si="13"/>
        <v>332.98668808777433</v>
      </c>
      <c r="Z77" s="25">
        <f>IF(settings!$F$13=0,'Teacher Exp'!L77,0)</f>
        <v>9.3880092885764928</v>
      </c>
      <c r="AA77" s="25">
        <f t="shared" si="14"/>
        <v>342.37469737635081</v>
      </c>
      <c r="AC77" s="26">
        <f>'Student Enrollment Data'!BU78</f>
        <v>0</v>
      </c>
      <c r="AD77" s="26">
        <f t="shared" si="15"/>
        <v>13.700000000000001</v>
      </c>
      <c r="AE77" s="26">
        <f>AD77*'Front page'!$B$16</f>
        <v>0.27400000000000002</v>
      </c>
      <c r="AG77" s="6">
        <f>M77*'Front page'!$E$3</f>
        <v>580440.43139362335</v>
      </c>
      <c r="AH77" s="6">
        <f>N77*'Front page'!$E$3</f>
        <v>17370.84502710844</v>
      </c>
      <c r="AI77" s="6">
        <f>O77*'Front page'!$E$3</f>
        <v>16523.486733103149</v>
      </c>
      <c r="AJ77" s="6">
        <f>P77*'Front page'!$E$3</f>
        <v>33046.973466206298</v>
      </c>
      <c r="AK77" s="6">
        <f>Q77*'Front page'!$E$3</f>
        <v>24573.390526153402</v>
      </c>
      <c r="AL77" s="6">
        <f>S77*'Front page'!$E$3</f>
        <v>0</v>
      </c>
      <c r="AM77" s="5">
        <f>Z77*'Front page'!$E$3</f>
        <v>39775.037674369953</v>
      </c>
      <c r="AN77" s="6">
        <f>T77*'Front page'!$E$3</f>
        <v>1160.880862787247</v>
      </c>
      <c r="AO77" s="6">
        <f>U77*'Front page'!$E$3</f>
        <v>0</v>
      </c>
      <c r="AP77" s="6">
        <f>W77*'Front page'!$E$3</f>
        <v>737679.15171365777</v>
      </c>
      <c r="AQ77" s="6">
        <f>V77*'Front page'!$E$3</f>
        <v>0</v>
      </c>
      <c r="AR77" s="6">
        <f>X77*'Front page'!$E$3</f>
        <v>0</v>
      </c>
      <c r="AS77" s="6">
        <f t="shared" si="16"/>
        <v>1450570.1973970097</v>
      </c>
      <c r="AT77" s="7">
        <f>IF(AS77&gt;'Funding Comparison'!D77*(1+'Front page'!$H$10),'Funding Comparison'!D77*(1+'Front page'!$H$10),AS77)</f>
        <v>1450570.1973970097</v>
      </c>
    </row>
    <row r="78" spans="1:46">
      <c r="A78" t="str">
        <f t="shared" si="9"/>
        <v>304</v>
      </c>
      <c r="B78">
        <f t="shared" si="11"/>
        <v>304</v>
      </c>
      <c r="C78" s="15" t="s">
        <v>87</v>
      </c>
      <c r="D78">
        <f>IF(settings!$G$4=0,'Student Enrollment Data'!AX79,'Student Enrollment Data'!CK79)</f>
        <v>407</v>
      </c>
      <c r="E78">
        <f>IF(settings!$G$4=0,'Student Enrollment Data'!AY79,'Student Enrollment Data'!CL79)</f>
        <v>95</v>
      </c>
      <c r="F78">
        <f>IF(settings!$G$4=0,'Student Enrollment Data'!AZ79,'Student Enrollment Data'!CM79)</f>
        <v>147</v>
      </c>
      <c r="G78" s="25">
        <f>'Student Enrollment Data'!BK79</f>
        <v>76</v>
      </c>
      <c r="H78">
        <f>'Student Enrollment Data'!BF79</f>
        <v>180.16</v>
      </c>
      <c r="I78">
        <f>SUM('Student Enrollment Data'!R79:X79,'Student Enrollment Data'!AQ79:AW79)</f>
        <v>0</v>
      </c>
      <c r="J78">
        <f>'Student Enrollment Data'!BS79</f>
        <v>34.355359061090148</v>
      </c>
      <c r="K78">
        <f t="shared" si="12"/>
        <v>40.700000000000003</v>
      </c>
      <c r="M78" s="30">
        <f t="shared" si="10"/>
        <v>407</v>
      </c>
      <c r="N78" s="30">
        <f>E78*'Front page'!$B$20</f>
        <v>9.5</v>
      </c>
      <c r="O78" s="30">
        <f>F78*'Front page'!$B$21</f>
        <v>14.700000000000001</v>
      </c>
      <c r="P78">
        <f>G78*'Front page'!$B$18</f>
        <v>49.4</v>
      </c>
      <c r="Q78" s="30">
        <f>IF(settings!$B$4=0,Calculations!H78,Calculations!I78) *'Front page'!$B$11</f>
        <v>18.016000000000002</v>
      </c>
      <c r="R78" s="31">
        <f>ROUND(I78*'Front page'!$B$9,2)</f>
        <v>0</v>
      </c>
      <c r="S78" s="30">
        <f>J78*'Front page'!$B$14</f>
        <v>3.4355359061090152</v>
      </c>
      <c r="T78" s="103">
        <f>'Front page'!$B$16*Calculations!K78</f>
        <v>0.81400000000000006</v>
      </c>
      <c r="U78" s="103">
        <f>IF(settings!$B$13=0,(Calculations!M78*'District Wealth Adjustment'!M77)-Calculations!M78,0)</f>
        <v>40.700000000000045</v>
      </c>
      <c r="V78" s="185">
        <f>VLOOKUP(B78,'Remote School Building Weight'!$M$2:$P$174,3,FALSE)</f>
        <v>0</v>
      </c>
      <c r="W78" s="25">
        <f>'Small Dist Weight'!V77-Calculations!D78</f>
        <v>186.24185736677123</v>
      </c>
      <c r="X78" s="25">
        <f>IF(settings!$P$9=0,'Large District Weight'!H77*'Large District Weight'!G77,0)</f>
        <v>0</v>
      </c>
      <c r="Y78" s="25">
        <f t="shared" si="13"/>
        <v>729.80739327288029</v>
      </c>
      <c r="Z78" s="25">
        <f>IF(settings!$F$13=0,'Teacher Exp'!L78,0)</f>
        <v>0</v>
      </c>
      <c r="AA78" s="25">
        <f t="shared" si="14"/>
        <v>729.80739327288029</v>
      </c>
      <c r="AC78" s="26">
        <f>'Student Enrollment Data'!BU79</f>
        <v>0</v>
      </c>
      <c r="AD78" s="26">
        <f t="shared" si="15"/>
        <v>40.700000000000003</v>
      </c>
      <c r="AE78" s="26">
        <f>AD78*'Front page'!$B$16</f>
        <v>0.81400000000000006</v>
      </c>
      <c r="AG78" s="6">
        <f>M78*'Front page'!$E$3</f>
        <v>1724374.1283007644</v>
      </c>
      <c r="AH78" s="6">
        <f>N78*'Front page'!$E$3</f>
        <v>40249.518965251256</v>
      </c>
      <c r="AI78" s="6">
        <f>O78*'Front page'!$E$3</f>
        <v>62280.834609388796</v>
      </c>
      <c r="AJ78" s="6">
        <f>P78*'Front page'!$E$3</f>
        <v>209297.49861930654</v>
      </c>
      <c r="AK78" s="6">
        <f>Q78*'Front page'!$E$3</f>
        <v>76330.035123996495</v>
      </c>
      <c r="AL78" s="6">
        <f>S78*'Front page'!$E$3</f>
        <v>14555.64922197226</v>
      </c>
      <c r="AM78" s="5">
        <f>Z78*'Front page'!$E$3</f>
        <v>0</v>
      </c>
      <c r="AN78" s="6">
        <f>T78*'Front page'!$E$3</f>
        <v>3448.7482566015292</v>
      </c>
      <c r="AO78" s="6">
        <f>U78*'Front page'!$E$3</f>
        <v>172437.41283007665</v>
      </c>
      <c r="AP78" s="6">
        <f>W78*'Front page'!$E$3</f>
        <v>789067.91265341872</v>
      </c>
      <c r="AQ78" s="6">
        <f>V78*'Front page'!$E$3</f>
        <v>0</v>
      </c>
      <c r="AR78" s="6">
        <f>X78*'Front page'!$E$3</f>
        <v>0</v>
      </c>
      <c r="AS78" s="6">
        <f t="shared" si="16"/>
        <v>3092041.7385807764</v>
      </c>
      <c r="AT78" s="7">
        <f>IF(AS78&gt;'Funding Comparison'!D78*(1+'Front page'!$H$10),'Funding Comparison'!D78*(1+'Front page'!$H$10),AS78)</f>
        <v>2911191.9984999993</v>
      </c>
    </row>
    <row r="79" spans="1:46">
      <c r="A79" t="str">
        <f t="shared" si="9"/>
        <v>305</v>
      </c>
      <c r="B79">
        <f t="shared" si="11"/>
        <v>305</v>
      </c>
      <c r="C79" s="15" t="s">
        <v>88</v>
      </c>
      <c r="D79">
        <f>IF(settings!$G$4=0,'Student Enrollment Data'!AX80,'Student Enrollment Data'!CK80)</f>
        <v>159</v>
      </c>
      <c r="E79">
        <f>IF(settings!$G$4=0,'Student Enrollment Data'!AY80,'Student Enrollment Data'!CL80)</f>
        <v>46</v>
      </c>
      <c r="F79">
        <f>IF(settings!$G$4=0,'Student Enrollment Data'!AZ80,'Student Enrollment Data'!CM80)</f>
        <v>51</v>
      </c>
      <c r="G79" s="25">
        <f>'Student Enrollment Data'!BK80</f>
        <v>23</v>
      </c>
      <c r="H79">
        <f>'Student Enrollment Data'!BF80</f>
        <v>92</v>
      </c>
      <c r="I79">
        <f>SUM('Student Enrollment Data'!R80:X80,'Student Enrollment Data'!AQ80:AW80)</f>
        <v>0</v>
      </c>
      <c r="J79">
        <f>'Student Enrollment Data'!BS80</f>
        <v>0</v>
      </c>
      <c r="K79">
        <f t="shared" si="12"/>
        <v>15.9</v>
      </c>
      <c r="M79" s="30">
        <f t="shared" si="10"/>
        <v>159</v>
      </c>
      <c r="N79" s="30">
        <f>E79*'Front page'!$B$20</f>
        <v>4.6000000000000005</v>
      </c>
      <c r="O79" s="30">
        <f>F79*'Front page'!$B$21</f>
        <v>5.1000000000000005</v>
      </c>
      <c r="P79">
        <f>G79*'Front page'!$B$18</f>
        <v>14.950000000000001</v>
      </c>
      <c r="Q79" s="30">
        <f>IF(settings!$B$4=0,Calculations!H79,Calculations!I79) *'Front page'!$B$11</f>
        <v>9.2000000000000011</v>
      </c>
      <c r="R79" s="31">
        <f>ROUND(I79*'Front page'!$B$9,2)</f>
        <v>0</v>
      </c>
      <c r="S79" s="30">
        <f>J79*'Front page'!$B$14</f>
        <v>0</v>
      </c>
      <c r="T79" s="103">
        <f>'Front page'!$B$16*Calculations!K79</f>
        <v>0.318</v>
      </c>
      <c r="U79" s="103">
        <f>IF(settings!$B$13=0,(Calculations!M79*'District Wealth Adjustment'!M78)-Calculations!M79,0)</f>
        <v>0</v>
      </c>
      <c r="V79" s="185">
        <f>VLOOKUP(B79,'Remote School Building Weight'!$M$2:$P$174,3,FALSE)</f>
        <v>0</v>
      </c>
      <c r="W79" s="25">
        <f>'Small Dist Weight'!V78-Calculations!D79</f>
        <v>166.42018808777431</v>
      </c>
      <c r="X79" s="25">
        <f>IF(settings!$P$9=0,'Large District Weight'!H78*'Large District Weight'!G78,0)</f>
        <v>0</v>
      </c>
      <c r="Y79" s="25">
        <f t="shared" si="13"/>
        <v>359.58818808777426</v>
      </c>
      <c r="Z79" s="25">
        <f>IF(settings!$F$13=0,'Teacher Exp'!L79,0)</f>
        <v>0.37038149978026536</v>
      </c>
      <c r="AA79" s="25">
        <f t="shared" si="14"/>
        <v>359.95856958755451</v>
      </c>
      <c r="AC79" s="26">
        <f>'Student Enrollment Data'!BU80</f>
        <v>2</v>
      </c>
      <c r="AD79" s="26">
        <f t="shared" si="15"/>
        <v>15.9</v>
      </c>
      <c r="AE79" s="26">
        <f>AD79*'Front page'!$B$16</f>
        <v>0.318</v>
      </c>
      <c r="AG79" s="6">
        <f>M79*'Front page'!$E$3</f>
        <v>673649.84373420523</v>
      </c>
      <c r="AH79" s="6">
        <f>N79*'Front page'!$E$3</f>
        <v>19489.240762121663</v>
      </c>
      <c r="AI79" s="6">
        <f>O79*'Front page'!$E$3</f>
        <v>21607.636497134888</v>
      </c>
      <c r="AJ79" s="6">
        <f>P79*'Front page'!$E$3</f>
        <v>63340.032476895409</v>
      </c>
      <c r="AK79" s="6">
        <f>Q79*'Front page'!$E$3</f>
        <v>38978.481524243325</v>
      </c>
      <c r="AL79" s="6">
        <f>S79*'Front page'!$E$3</f>
        <v>0</v>
      </c>
      <c r="AM79" s="5">
        <f>Z79*'Front page'!$E$3</f>
        <v>1569.229178924631</v>
      </c>
      <c r="AN79" s="6">
        <f>T79*'Front page'!$E$3</f>
        <v>1347.2996874684106</v>
      </c>
      <c r="AO79" s="6">
        <f>U79*'Front page'!$E$3</f>
        <v>0</v>
      </c>
      <c r="AP79" s="6">
        <f>W79*'Front page'!$E$3</f>
        <v>705087.63333047926</v>
      </c>
      <c r="AQ79" s="6">
        <f>V79*'Front page'!$E$3</f>
        <v>0</v>
      </c>
      <c r="AR79" s="6">
        <f>X79*'Front page'!$E$3</f>
        <v>0</v>
      </c>
      <c r="AS79" s="6">
        <f t="shared" si="16"/>
        <v>1525069.3971914728</v>
      </c>
      <c r="AT79" s="7">
        <f>IF(AS79&gt;'Funding Comparison'!D79*(1+'Front page'!$H$10),'Funding Comparison'!D79*(1+'Front page'!$H$10),AS79)</f>
        <v>1525069.3971914728</v>
      </c>
    </row>
    <row r="80" spans="1:46">
      <c r="A80" t="str">
        <f t="shared" si="9"/>
        <v>312</v>
      </c>
      <c r="B80">
        <f t="shared" si="11"/>
        <v>312</v>
      </c>
      <c r="C80" s="15" t="s">
        <v>89</v>
      </c>
      <c r="D80">
        <f>IF(settings!$G$4=0,'Student Enrollment Data'!AX81,'Student Enrollment Data'!CK81)</f>
        <v>478.5</v>
      </c>
      <c r="E80">
        <f>IF(settings!$G$4=0,'Student Enrollment Data'!AY81,'Student Enrollment Data'!CL81)</f>
        <v>127.5</v>
      </c>
      <c r="F80">
        <f>IF(settings!$G$4=0,'Student Enrollment Data'!AZ81,'Student Enrollment Data'!CM81)</f>
        <v>153</v>
      </c>
      <c r="G80" s="25">
        <f>'Student Enrollment Data'!BK81</f>
        <v>48</v>
      </c>
      <c r="H80">
        <f>'Student Enrollment Data'!BF81</f>
        <v>380</v>
      </c>
      <c r="I80">
        <f>SUM('Student Enrollment Data'!R81:X81,'Student Enrollment Data'!AQ81:AW81)</f>
        <v>16.518610781915378</v>
      </c>
      <c r="J80">
        <f>'Student Enrollment Data'!BS81</f>
        <v>192</v>
      </c>
      <c r="K80">
        <f t="shared" si="12"/>
        <v>47.85</v>
      </c>
      <c r="M80" s="30">
        <f t="shared" si="10"/>
        <v>478.5</v>
      </c>
      <c r="N80" s="30">
        <f>E80*'Front page'!$B$20</f>
        <v>12.75</v>
      </c>
      <c r="O80" s="30">
        <f>F80*'Front page'!$B$21</f>
        <v>15.3</v>
      </c>
      <c r="P80">
        <f>G80*'Front page'!$B$18</f>
        <v>31.200000000000003</v>
      </c>
      <c r="Q80" s="30">
        <f>IF(settings!$B$4=0,Calculations!H80,Calculations!I80) *'Front page'!$B$11</f>
        <v>38</v>
      </c>
      <c r="R80" s="31">
        <f>ROUND(I80*'Front page'!$B$9,2)</f>
        <v>0</v>
      </c>
      <c r="S80" s="30">
        <f>J80*'Front page'!$B$14</f>
        <v>19.200000000000003</v>
      </c>
      <c r="T80" s="103">
        <f>'Front page'!$B$16*Calculations!K80</f>
        <v>0.95700000000000007</v>
      </c>
      <c r="U80" s="103">
        <f>IF(settings!$B$13=0,(Calculations!M80*'District Wealth Adjustment'!M79)-Calculations!M80,0)</f>
        <v>47.850000000000023</v>
      </c>
      <c r="V80" s="185">
        <f>VLOOKUP(B80,'Remote School Building Weight'!$M$2:$P$174,3,FALSE)</f>
        <v>0</v>
      </c>
      <c r="W80" s="25">
        <f>'Small Dist Weight'!V79-Calculations!D80</f>
        <v>177.46671826018814</v>
      </c>
      <c r="X80" s="25">
        <f>IF(settings!$P$9=0,'Large District Weight'!H79*'Large District Weight'!G79,0)</f>
        <v>0</v>
      </c>
      <c r="Y80" s="25">
        <f t="shared" si="13"/>
        <v>821.22371826018821</v>
      </c>
      <c r="Z80" s="25">
        <f>IF(settings!$F$13=0,'Teacher Exp'!L80,0)</f>
        <v>0</v>
      </c>
      <c r="AA80" s="25">
        <f t="shared" si="14"/>
        <v>821.22371826018821</v>
      </c>
      <c r="AC80" s="26">
        <f>'Student Enrollment Data'!BU81</f>
        <v>0</v>
      </c>
      <c r="AD80" s="26">
        <f t="shared" si="15"/>
        <v>47.85</v>
      </c>
      <c r="AE80" s="26">
        <f>AD80*'Front page'!$B$16</f>
        <v>0.95700000000000007</v>
      </c>
      <c r="AG80" s="6">
        <f>M80*'Front page'!$E$3</f>
        <v>2027304.7184076554</v>
      </c>
      <c r="AH80" s="6">
        <f>N80*'Front page'!$E$3</f>
        <v>54019.091242837218</v>
      </c>
      <c r="AI80" s="6">
        <f>O80*'Front page'!$E$3</f>
        <v>64822.909491404658</v>
      </c>
      <c r="AJ80" s="6">
        <f>P80*'Front page'!$E$3</f>
        <v>132187.89386482519</v>
      </c>
      <c r="AK80" s="6">
        <f>Q80*'Front page'!$E$3</f>
        <v>160998.07586100503</v>
      </c>
      <c r="AL80" s="6">
        <f>S80*'Front page'!$E$3</f>
        <v>81346.396224507815</v>
      </c>
      <c r="AM80" s="5">
        <f>Z80*'Front page'!$E$3</f>
        <v>0</v>
      </c>
      <c r="AN80" s="6">
        <f>T80*'Front page'!$E$3</f>
        <v>4054.6094368153113</v>
      </c>
      <c r="AO80" s="6">
        <f>U80*'Front page'!$E$3</f>
        <v>202730.47184076565</v>
      </c>
      <c r="AP80" s="6">
        <f>W80*'Front page'!$E$3</f>
        <v>751889.47813835205</v>
      </c>
      <c r="AQ80" s="6">
        <f>V80*'Front page'!$E$3</f>
        <v>0</v>
      </c>
      <c r="AR80" s="6">
        <f>X80*'Front page'!$E$3</f>
        <v>0</v>
      </c>
      <c r="AS80" s="6">
        <f t="shared" si="16"/>
        <v>3479353.6445081681</v>
      </c>
      <c r="AT80" s="7">
        <f>IF(AS80&gt;'Funding Comparison'!D80*(1+'Front page'!$H$10),'Funding Comparison'!D80*(1+'Front page'!$H$10),AS80)</f>
        <v>3479353.6445081681</v>
      </c>
    </row>
    <row r="81" spans="1:46">
      <c r="A81" t="str">
        <f t="shared" si="9"/>
        <v>314</v>
      </c>
      <c r="B81">
        <f t="shared" si="11"/>
        <v>314</v>
      </c>
      <c r="C81" s="15" t="s">
        <v>90</v>
      </c>
      <c r="D81">
        <f>IF(settings!$G$4=0,'Student Enrollment Data'!AX82,'Student Enrollment Data'!CK82)</f>
        <v>203</v>
      </c>
      <c r="E81">
        <f>IF(settings!$G$4=0,'Student Enrollment Data'!AY82,'Student Enrollment Data'!CL82)</f>
        <v>56</v>
      </c>
      <c r="F81">
        <f>IF(settings!$G$4=0,'Student Enrollment Data'!AZ82,'Student Enrollment Data'!CM82)</f>
        <v>59</v>
      </c>
      <c r="G81" s="25">
        <f>'Student Enrollment Data'!BK82</f>
        <v>20</v>
      </c>
      <c r="H81">
        <f>'Student Enrollment Data'!BF82</f>
        <v>129</v>
      </c>
      <c r="I81">
        <f>SUM('Student Enrollment Data'!R82:X82,'Student Enrollment Data'!AQ82:AW82)</f>
        <v>0</v>
      </c>
      <c r="J81">
        <f>'Student Enrollment Data'!BS82</f>
        <v>30</v>
      </c>
      <c r="K81">
        <f t="shared" si="12"/>
        <v>20.3</v>
      </c>
      <c r="M81" s="30">
        <f t="shared" si="10"/>
        <v>203</v>
      </c>
      <c r="N81" s="30">
        <f>E81*'Front page'!$B$20</f>
        <v>5.6000000000000005</v>
      </c>
      <c r="O81" s="30">
        <f>F81*'Front page'!$B$21</f>
        <v>5.9</v>
      </c>
      <c r="P81">
        <f>G81*'Front page'!$B$18</f>
        <v>13</v>
      </c>
      <c r="Q81" s="30">
        <f>IF(settings!$B$4=0,Calculations!H81,Calculations!I81) *'Front page'!$B$11</f>
        <v>12.9</v>
      </c>
      <c r="R81" s="31">
        <f>ROUND(I81*'Front page'!$B$9,2)</f>
        <v>0</v>
      </c>
      <c r="S81" s="30">
        <f>J81*'Front page'!$B$14</f>
        <v>3</v>
      </c>
      <c r="T81" s="103">
        <f>'Front page'!$B$16*Calculations!K81</f>
        <v>0.40600000000000003</v>
      </c>
      <c r="U81" s="103">
        <f>IF(settings!$B$13=0,(Calculations!M81*'District Wealth Adjustment'!M80)-Calculations!M81,0)</f>
        <v>20.300000000000011</v>
      </c>
      <c r="V81" s="185">
        <f>VLOOKUP(B81,'Remote School Building Weight'!$M$2:$P$174,3,FALSE)</f>
        <v>0</v>
      </c>
      <c r="W81" s="25">
        <f>'Small Dist Weight'!V80-Calculations!D81</f>
        <v>146.52723354231978</v>
      </c>
      <c r="X81" s="25">
        <f>IF(settings!$P$9=0,'Large District Weight'!H80*'Large District Weight'!G80,0)</f>
        <v>0</v>
      </c>
      <c r="Y81" s="25">
        <f t="shared" si="13"/>
        <v>410.63323354231977</v>
      </c>
      <c r="Z81" s="25">
        <f>IF(settings!$F$13=0,'Teacher Exp'!L81,0)</f>
        <v>11.224361312170126</v>
      </c>
      <c r="AA81" s="25">
        <f t="shared" si="14"/>
        <v>421.85759485448989</v>
      </c>
      <c r="AC81" s="26">
        <f>'Student Enrollment Data'!BU82</f>
        <v>6</v>
      </c>
      <c r="AD81" s="26">
        <f t="shared" si="15"/>
        <v>20.3</v>
      </c>
      <c r="AE81" s="26">
        <f>AD81*'Front page'!$B$16</f>
        <v>0.40600000000000003</v>
      </c>
      <c r="AG81" s="6">
        <f>M81*'Front page'!$E$3</f>
        <v>860068.668415369</v>
      </c>
      <c r="AH81" s="6">
        <f>N81*'Front page'!$E$3</f>
        <v>23726.032232148111</v>
      </c>
      <c r="AI81" s="6">
        <f>O81*'Front page'!$E$3</f>
        <v>24997.069673156046</v>
      </c>
      <c r="AJ81" s="6">
        <f>P81*'Front page'!$E$3</f>
        <v>55078.289110343831</v>
      </c>
      <c r="AK81" s="6">
        <f>Q81*'Front page'!$E$3</f>
        <v>54654.609963341187</v>
      </c>
      <c r="AL81" s="6">
        <f>S81*'Front page'!$E$3</f>
        <v>12710.374410079345</v>
      </c>
      <c r="AM81" s="5">
        <f>Z81*'Front page'!$E$3</f>
        <v>47555.278263897264</v>
      </c>
      <c r="AN81" s="6">
        <f>T81*'Front page'!$E$3</f>
        <v>1720.1373368307381</v>
      </c>
      <c r="AO81" s="6">
        <f>U81*'Front page'!$E$3</f>
        <v>86006.866841536947</v>
      </c>
      <c r="AP81" s="6">
        <f>W81*'Front page'!$E$3</f>
        <v>620805.33319867367</v>
      </c>
      <c r="AQ81" s="6">
        <f>V81*'Front page'!$E$3</f>
        <v>0</v>
      </c>
      <c r="AR81" s="6">
        <f>X81*'Front page'!$E$3</f>
        <v>0</v>
      </c>
      <c r="AS81" s="6">
        <f t="shared" si="16"/>
        <v>1787322.6594453761</v>
      </c>
      <c r="AT81" s="7">
        <f>IF(AS81&gt;'Funding Comparison'!D81*(1+'Front page'!$H$10),'Funding Comparison'!D81*(1+'Front page'!$H$10),AS81)</f>
        <v>1787322.6594453761</v>
      </c>
    </row>
    <row r="82" spans="1:46">
      <c r="A82" t="str">
        <f t="shared" si="9"/>
        <v>316</v>
      </c>
      <c r="B82">
        <f t="shared" si="11"/>
        <v>316</v>
      </c>
      <c r="C82" s="15" t="s">
        <v>91</v>
      </c>
      <c r="D82">
        <f>IF(settings!$G$4=0,'Student Enrollment Data'!AX83,'Student Enrollment Data'!CK83)</f>
        <v>177</v>
      </c>
      <c r="E82">
        <f>IF(settings!$G$4=0,'Student Enrollment Data'!AY83,'Student Enrollment Data'!CL83)</f>
        <v>54</v>
      </c>
      <c r="F82">
        <f>IF(settings!$G$4=0,'Student Enrollment Data'!AZ83,'Student Enrollment Data'!CM83)</f>
        <v>47</v>
      </c>
      <c r="G82" s="25">
        <f>'Student Enrollment Data'!BK83</f>
        <v>26</v>
      </c>
      <c r="H82">
        <f>'Student Enrollment Data'!BF83</f>
        <v>114</v>
      </c>
      <c r="I82">
        <f>SUM('Student Enrollment Data'!R83:X83,'Student Enrollment Data'!AQ83:AW83)</f>
        <v>0</v>
      </c>
      <c r="J82">
        <f>'Student Enrollment Data'!BS83</f>
        <v>25</v>
      </c>
      <c r="K82">
        <f t="shared" si="12"/>
        <v>17.7</v>
      </c>
      <c r="M82" s="30">
        <f t="shared" si="10"/>
        <v>177</v>
      </c>
      <c r="N82" s="30">
        <f>E82*'Front page'!$B$20</f>
        <v>5.4</v>
      </c>
      <c r="O82" s="30">
        <f>F82*'Front page'!$B$21</f>
        <v>4.7</v>
      </c>
      <c r="P82">
        <f>G82*'Front page'!$B$18</f>
        <v>16.900000000000002</v>
      </c>
      <c r="Q82" s="30">
        <f>IF(settings!$B$4=0,Calculations!H82,Calculations!I82) *'Front page'!$B$11</f>
        <v>11.4</v>
      </c>
      <c r="R82" s="31">
        <f>ROUND(I82*'Front page'!$B$9,2)</f>
        <v>0</v>
      </c>
      <c r="S82" s="30">
        <f>J82*'Front page'!$B$14</f>
        <v>2.5</v>
      </c>
      <c r="T82" s="103">
        <f>'Front page'!$B$16*Calculations!K82</f>
        <v>0.35399999999999998</v>
      </c>
      <c r="U82" s="103">
        <f>IF(settings!$B$13=0,(Calculations!M82*'District Wealth Adjustment'!M81)-Calculations!M82,0)</f>
        <v>17.700000000000017</v>
      </c>
      <c r="V82" s="185">
        <f>VLOOKUP(B82,'Remote School Building Weight'!$M$2:$P$174,3,FALSE)</f>
        <v>0</v>
      </c>
      <c r="W82" s="25">
        <f>'Small Dist Weight'!V81-Calculations!D82</f>
        <v>172.52723354231978</v>
      </c>
      <c r="X82" s="25">
        <f>IF(settings!$P$9=0,'Large District Weight'!H81*'Large District Weight'!G81,0)</f>
        <v>0</v>
      </c>
      <c r="Y82" s="25">
        <f t="shared" si="13"/>
        <v>408.48123354231984</v>
      </c>
      <c r="Z82" s="25">
        <f>IF(settings!$F$13=0,'Teacher Exp'!L82,0)</f>
        <v>0</v>
      </c>
      <c r="AA82" s="25">
        <f t="shared" si="14"/>
        <v>408.48123354231984</v>
      </c>
      <c r="AC82" s="26">
        <f>'Student Enrollment Data'!BU83</f>
        <v>0</v>
      </c>
      <c r="AD82" s="26">
        <f t="shared" si="15"/>
        <v>17.7</v>
      </c>
      <c r="AE82" s="26">
        <f>AD82*'Front page'!$B$16</f>
        <v>0.35399999999999998</v>
      </c>
      <c r="AG82" s="6">
        <f>M82*'Front page'!$E$3</f>
        <v>749912.09019468131</v>
      </c>
      <c r="AH82" s="6">
        <f>N82*'Front page'!$E$3</f>
        <v>22878.673938142823</v>
      </c>
      <c r="AI82" s="6">
        <f>O82*'Front page'!$E$3</f>
        <v>19912.919909124306</v>
      </c>
      <c r="AJ82" s="6">
        <f>P82*'Front page'!$E$3</f>
        <v>71601.775843446987</v>
      </c>
      <c r="AK82" s="6">
        <f>Q82*'Front page'!$E$3</f>
        <v>48299.422758301509</v>
      </c>
      <c r="AL82" s="6">
        <f>S82*'Front page'!$E$3</f>
        <v>10591.978675066121</v>
      </c>
      <c r="AM82" s="5">
        <f>Z82*'Front page'!$E$3</f>
        <v>0</v>
      </c>
      <c r="AN82" s="6">
        <f>T82*'Front page'!$E$3</f>
        <v>1499.8241803893625</v>
      </c>
      <c r="AO82" s="6">
        <f>U82*'Front page'!$E$3</f>
        <v>74991.20901946821</v>
      </c>
      <c r="AP82" s="6">
        <f>W82*'Front page'!$E$3</f>
        <v>730961.91141936136</v>
      </c>
      <c r="AQ82" s="6">
        <f>V82*'Front page'!$E$3</f>
        <v>0</v>
      </c>
      <c r="AR82" s="6">
        <f>X82*'Front page'!$E$3</f>
        <v>0</v>
      </c>
      <c r="AS82" s="6">
        <f t="shared" si="16"/>
        <v>1730649.8059379819</v>
      </c>
      <c r="AT82" s="7">
        <f>IF(AS82&gt;'Funding Comparison'!D82*(1+'Front page'!$H$10),'Funding Comparison'!D82*(1+'Front page'!$H$10),AS82)</f>
        <v>1730649.8059379819</v>
      </c>
    </row>
    <row r="83" spans="1:46">
      <c r="A83" t="str">
        <f t="shared" si="9"/>
        <v>321</v>
      </c>
      <c r="B83">
        <f t="shared" si="11"/>
        <v>321</v>
      </c>
      <c r="C83" s="15" t="s">
        <v>92</v>
      </c>
      <c r="D83">
        <f>IF(settings!$G$4=0,'Student Enrollment Data'!AX84,'Student Enrollment Data'!CK84)</f>
        <v>5004</v>
      </c>
      <c r="E83">
        <f>IF(settings!$G$4=0,'Student Enrollment Data'!AY84,'Student Enrollment Data'!CL84)</f>
        <v>1345</v>
      </c>
      <c r="F83">
        <f>IF(settings!$G$4=0,'Student Enrollment Data'!AZ84,'Student Enrollment Data'!CM84)</f>
        <v>1656</v>
      </c>
      <c r="G83" s="25">
        <f>'Student Enrollment Data'!BK84</f>
        <v>570</v>
      </c>
      <c r="H83">
        <f>'Student Enrollment Data'!BF84</f>
        <v>1946</v>
      </c>
      <c r="I83">
        <f>SUM('Student Enrollment Data'!R84:X84,'Student Enrollment Data'!AQ84:AW84)</f>
        <v>113.80751690934618</v>
      </c>
      <c r="J83">
        <f>'Student Enrollment Data'!BS84</f>
        <v>224</v>
      </c>
      <c r="K83">
        <f t="shared" si="12"/>
        <v>500.40000000000003</v>
      </c>
      <c r="M83" s="30">
        <f t="shared" si="10"/>
        <v>5004</v>
      </c>
      <c r="N83" s="30">
        <f>E83*'Front page'!$B$20</f>
        <v>134.5</v>
      </c>
      <c r="O83" s="30">
        <f>F83*'Front page'!$B$21</f>
        <v>165.60000000000002</v>
      </c>
      <c r="P83">
        <f>G83*'Front page'!$B$18</f>
        <v>370.5</v>
      </c>
      <c r="Q83" s="30">
        <f>IF(settings!$B$4=0,Calculations!H83,Calculations!I83) *'Front page'!$B$11</f>
        <v>194.60000000000002</v>
      </c>
      <c r="R83" s="31">
        <f>ROUND(I83*'Front page'!$B$9,2)</f>
        <v>0</v>
      </c>
      <c r="S83" s="30">
        <f>J83*'Front page'!$B$14</f>
        <v>22.400000000000002</v>
      </c>
      <c r="T83" s="103">
        <f>'Front page'!$B$16*Calculations!K83</f>
        <v>10.008000000000001</v>
      </c>
      <c r="U83" s="103">
        <f>IF(settings!$B$13=0,(Calculations!M83*'District Wealth Adjustment'!M82)-Calculations!M83,0)</f>
        <v>500.40000000000055</v>
      </c>
      <c r="V83" s="185">
        <f>VLOOKUP(B83,'Remote School Building Weight'!$M$2:$P$174,3,FALSE)</f>
        <v>0</v>
      </c>
      <c r="W83" s="25">
        <f>'Small Dist Weight'!V82-Calculations!D83</f>
        <v>0</v>
      </c>
      <c r="X83" s="25">
        <f>IF(settings!$P$9=0,'Large District Weight'!H82*'Large District Weight'!G82,0)</f>
        <v>0</v>
      </c>
      <c r="Y83" s="25">
        <f t="shared" si="13"/>
        <v>6402.0080000000007</v>
      </c>
      <c r="Z83" s="25">
        <f>IF(settings!$F$13=0,'Teacher Exp'!L83,0)</f>
        <v>0</v>
      </c>
      <c r="AA83" s="25">
        <f t="shared" si="14"/>
        <v>6402.0080000000007</v>
      </c>
      <c r="AC83" s="26">
        <f>'Student Enrollment Data'!BU84</f>
        <v>426</v>
      </c>
      <c r="AD83" s="26">
        <f t="shared" si="15"/>
        <v>500.40000000000003</v>
      </c>
      <c r="AE83" s="26">
        <f>AD83*'Front page'!$B$16</f>
        <v>10.008000000000001</v>
      </c>
      <c r="AG83" s="6">
        <f>M83*'Front page'!$E$3</f>
        <v>21200904.516012348</v>
      </c>
      <c r="AH83" s="6">
        <f>N83*'Front page'!$E$3</f>
        <v>569848.45271855732</v>
      </c>
      <c r="AI83" s="6">
        <f>O83*'Front page'!$E$3</f>
        <v>701612.66743637994</v>
      </c>
      <c r="AJ83" s="6">
        <f>P83*'Front page'!$E$3</f>
        <v>1569731.2396447991</v>
      </c>
      <c r="AK83" s="6">
        <f>Q83*'Front page'!$E$3</f>
        <v>824479.62006714696</v>
      </c>
      <c r="AL83" s="6">
        <f>S83*'Front page'!$E$3</f>
        <v>94904.128928592443</v>
      </c>
      <c r="AM83" s="5">
        <f>Z83*'Front page'!$E$3</f>
        <v>0</v>
      </c>
      <c r="AN83" s="6">
        <f>T83*'Front page'!$E$3</f>
        <v>42401.809032024699</v>
      </c>
      <c r="AO83" s="6">
        <f>U83*'Front page'!$E$3</f>
        <v>2120090.4516012371</v>
      </c>
      <c r="AP83" s="6">
        <f>W83*'Front page'!$E$3</f>
        <v>0</v>
      </c>
      <c r="AQ83" s="6">
        <f>V83*'Front page'!$E$3</f>
        <v>0</v>
      </c>
      <c r="AR83" s="6">
        <f>X83*'Front page'!$E$3</f>
        <v>0</v>
      </c>
      <c r="AS83" s="6">
        <f t="shared" si="16"/>
        <v>27123972.885441083</v>
      </c>
      <c r="AT83" s="7">
        <f>IF(AS83&gt;'Funding Comparison'!D83*(1+'Front page'!$H$10),'Funding Comparison'!D83*(1+'Front page'!$H$10),AS83)</f>
        <v>27123972.885441083</v>
      </c>
    </row>
    <row r="84" spans="1:46">
      <c r="A84" t="str">
        <f t="shared" si="9"/>
        <v>322</v>
      </c>
      <c r="B84">
        <f t="shared" si="11"/>
        <v>322</v>
      </c>
      <c r="C84" s="15" t="s">
        <v>93</v>
      </c>
      <c r="D84">
        <f>IF(settings!$G$4=0,'Student Enrollment Data'!AX85,'Student Enrollment Data'!CK85)</f>
        <v>1559</v>
      </c>
      <c r="E84">
        <f>IF(settings!$G$4=0,'Student Enrollment Data'!AY85,'Student Enrollment Data'!CL85)</f>
        <v>349</v>
      </c>
      <c r="F84">
        <f>IF(settings!$G$4=0,'Student Enrollment Data'!AZ85,'Student Enrollment Data'!CM85)</f>
        <v>539</v>
      </c>
      <c r="G84" s="25">
        <f>'Student Enrollment Data'!BK85</f>
        <v>123</v>
      </c>
      <c r="H84">
        <f>'Student Enrollment Data'!BF85</f>
        <v>613</v>
      </c>
      <c r="I84">
        <f>SUM('Student Enrollment Data'!R85:X85,'Student Enrollment Data'!AQ85:AW85)</f>
        <v>18.359193416329333</v>
      </c>
      <c r="J84">
        <f>'Student Enrollment Data'!BS85</f>
        <v>51</v>
      </c>
      <c r="K84">
        <f t="shared" si="12"/>
        <v>155.9</v>
      </c>
      <c r="M84" s="30">
        <f t="shared" si="10"/>
        <v>1559</v>
      </c>
      <c r="N84" s="30">
        <f>E84*'Front page'!$B$20</f>
        <v>34.9</v>
      </c>
      <c r="O84" s="30">
        <f>F84*'Front page'!$B$21</f>
        <v>53.900000000000006</v>
      </c>
      <c r="P84">
        <f>G84*'Front page'!$B$18</f>
        <v>79.95</v>
      </c>
      <c r="Q84" s="30">
        <f>IF(settings!$B$4=0,Calculations!H84,Calculations!I84) *'Front page'!$B$11</f>
        <v>61.300000000000004</v>
      </c>
      <c r="R84" s="31">
        <f>ROUND(I84*'Front page'!$B$9,2)</f>
        <v>0</v>
      </c>
      <c r="S84" s="30">
        <f>J84*'Front page'!$B$14</f>
        <v>5.1000000000000005</v>
      </c>
      <c r="T84" s="103">
        <f>'Front page'!$B$16*Calculations!K84</f>
        <v>3.1180000000000003</v>
      </c>
      <c r="U84" s="103">
        <f>IF(settings!$B$13=0,(Calculations!M84*'District Wealth Adjustment'!M83)-Calculations!M84,0)</f>
        <v>155.90000000000009</v>
      </c>
      <c r="V84" s="185">
        <f>VLOOKUP(B84,'Remote School Building Weight'!$M$2:$P$174,3,FALSE)</f>
        <v>0</v>
      </c>
      <c r="W84" s="25">
        <f>'Small Dist Weight'!V83-Calculations!D84</f>
        <v>29.32758620689674</v>
      </c>
      <c r="X84" s="25">
        <f>IF(settings!$P$9=0,'Large District Weight'!H83*'Large District Weight'!G83,0)</f>
        <v>0</v>
      </c>
      <c r="Y84" s="25">
        <f t="shared" si="13"/>
        <v>1982.4955862068969</v>
      </c>
      <c r="Z84" s="25">
        <f>IF(settings!$F$13=0,'Teacher Exp'!L84,0)</f>
        <v>0</v>
      </c>
      <c r="AA84" s="25">
        <f t="shared" si="14"/>
        <v>1982.4955862068969</v>
      </c>
      <c r="AC84" s="26">
        <f>'Student Enrollment Data'!BU85</f>
        <v>75</v>
      </c>
      <c r="AD84" s="26">
        <f t="shared" si="15"/>
        <v>155.9</v>
      </c>
      <c r="AE84" s="26">
        <f>AD84*'Front page'!$B$16</f>
        <v>3.1180000000000003</v>
      </c>
      <c r="AG84" s="6">
        <f>M84*'Front page'!$E$3</f>
        <v>6605157.9017712325</v>
      </c>
      <c r="AH84" s="6">
        <f>N84*'Front page'!$E$3</f>
        <v>147864.02230392303</v>
      </c>
      <c r="AI84" s="6">
        <f>O84*'Front page'!$E$3</f>
        <v>228363.06023442559</v>
      </c>
      <c r="AJ84" s="6">
        <f>P84*'Front page'!$E$3</f>
        <v>338731.47802861454</v>
      </c>
      <c r="AK84" s="6">
        <f>Q84*'Front page'!$E$3</f>
        <v>259715.3171126213</v>
      </c>
      <c r="AL84" s="6">
        <f>S84*'Front page'!$E$3</f>
        <v>21607.636497134888</v>
      </c>
      <c r="AM84" s="5">
        <f>Z84*'Front page'!$E$3</f>
        <v>0</v>
      </c>
      <c r="AN84" s="6">
        <f>T84*'Front page'!$E$3</f>
        <v>13210.315803542468</v>
      </c>
      <c r="AO84" s="6">
        <f>U84*'Front page'!$E$3</f>
        <v>660515.79017712362</v>
      </c>
      <c r="AP84" s="6">
        <f>W84*'Front page'!$E$3</f>
        <v>124254.86707784543</v>
      </c>
      <c r="AQ84" s="6">
        <f>V84*'Front page'!$E$3</f>
        <v>0</v>
      </c>
      <c r="AR84" s="6">
        <f>X84*'Front page'!$E$3</f>
        <v>0</v>
      </c>
      <c r="AS84" s="6">
        <f t="shared" si="16"/>
        <v>8399420.3890064638</v>
      </c>
      <c r="AT84" s="7">
        <f>IF(AS84&gt;'Funding Comparison'!D84*(1+'Front page'!$H$10),'Funding Comparison'!D84*(1+'Front page'!$H$10),AS84)</f>
        <v>8399420.3890064638</v>
      </c>
    </row>
    <row r="85" spans="1:46">
      <c r="A85" t="str">
        <f t="shared" si="9"/>
        <v>331</v>
      </c>
      <c r="B85">
        <f t="shared" si="11"/>
        <v>331</v>
      </c>
      <c r="C85" s="15" t="s">
        <v>94</v>
      </c>
      <c r="D85">
        <f>IF(settings!$G$4=0,'Student Enrollment Data'!AX86,'Student Enrollment Data'!CK86)</f>
        <v>4038</v>
      </c>
      <c r="E85">
        <f>IF(settings!$G$4=0,'Student Enrollment Data'!AY86,'Student Enrollment Data'!CL86)</f>
        <v>1172</v>
      </c>
      <c r="F85">
        <f>IF(settings!$G$4=0,'Student Enrollment Data'!AZ86,'Student Enrollment Data'!CM86)</f>
        <v>1141</v>
      </c>
      <c r="G85" s="25">
        <f>'Student Enrollment Data'!BK86</f>
        <v>475</v>
      </c>
      <c r="H85">
        <f>'Student Enrollment Data'!BF86</f>
        <v>2840</v>
      </c>
      <c r="I85">
        <f>SUM('Student Enrollment Data'!R86:X86,'Student Enrollment Data'!AQ86:AW86)</f>
        <v>284.63912549948287</v>
      </c>
      <c r="J85">
        <f>'Student Enrollment Data'!BS86</f>
        <v>668</v>
      </c>
      <c r="K85">
        <f t="shared" si="12"/>
        <v>403.8</v>
      </c>
      <c r="M85" s="30">
        <f t="shared" si="10"/>
        <v>4038</v>
      </c>
      <c r="N85" s="30">
        <f>E85*'Front page'!$B$20</f>
        <v>117.2</v>
      </c>
      <c r="O85" s="30">
        <f>F85*'Front page'!$B$21</f>
        <v>114.10000000000001</v>
      </c>
      <c r="P85">
        <f>G85*'Front page'!$B$18</f>
        <v>308.75</v>
      </c>
      <c r="Q85" s="30">
        <f>IF(settings!$B$4=0,Calculations!H85,Calculations!I85) *'Front page'!$B$11</f>
        <v>284</v>
      </c>
      <c r="R85" s="31">
        <f>ROUND(I85*'Front page'!$B$9,2)</f>
        <v>0</v>
      </c>
      <c r="S85" s="30">
        <f>J85*'Front page'!$B$14</f>
        <v>66.8</v>
      </c>
      <c r="T85" s="103">
        <f>'Front page'!$B$16*Calculations!K85</f>
        <v>8.0760000000000005</v>
      </c>
      <c r="U85" s="103">
        <f>IF(settings!$B$13=0,(Calculations!M85*'District Wealth Adjustment'!M84)-Calculations!M85,0)</f>
        <v>403.80000000000018</v>
      </c>
      <c r="V85" s="185">
        <f>VLOOKUP(B85,'Remote School Building Weight'!$M$2:$P$174,3,FALSE)</f>
        <v>0</v>
      </c>
      <c r="W85" s="25">
        <f>'Small Dist Weight'!V84-Calculations!D85</f>
        <v>0</v>
      </c>
      <c r="X85" s="25">
        <f>IF(settings!$P$9=0,'Large District Weight'!H84*'Large District Weight'!G84,0)</f>
        <v>0</v>
      </c>
      <c r="Y85" s="25">
        <f t="shared" si="13"/>
        <v>5340.7260000000006</v>
      </c>
      <c r="Z85" s="25">
        <f>IF(settings!$F$13=0,'Teacher Exp'!L85,0)</f>
        <v>0</v>
      </c>
      <c r="AA85" s="25">
        <f t="shared" si="14"/>
        <v>5340.7260000000006</v>
      </c>
      <c r="AC85" s="26">
        <f>'Student Enrollment Data'!BU86</f>
        <v>79</v>
      </c>
      <c r="AD85" s="26">
        <f t="shared" si="15"/>
        <v>403.8</v>
      </c>
      <c r="AE85" s="26">
        <f>AD85*'Front page'!$B$16</f>
        <v>8.0760000000000005</v>
      </c>
      <c r="AG85" s="6">
        <f>M85*'Front page'!$E$3</f>
        <v>17108163.955966797</v>
      </c>
      <c r="AH85" s="6">
        <f>N85*'Front page'!$E$3</f>
        <v>496551.96028709976</v>
      </c>
      <c r="AI85" s="6">
        <f>O85*'Front page'!$E$3</f>
        <v>483417.9067300178</v>
      </c>
      <c r="AJ85" s="6">
        <f>P85*'Front page'!$E$3</f>
        <v>1308109.3663706658</v>
      </c>
      <c r="AK85" s="6">
        <f>Q85*'Front page'!$E$3</f>
        <v>1203248.7774875113</v>
      </c>
      <c r="AL85" s="6">
        <f>S85*'Front page'!$E$3</f>
        <v>283017.67019776674</v>
      </c>
      <c r="AM85" s="5">
        <f>Z85*'Front page'!$E$3</f>
        <v>0</v>
      </c>
      <c r="AN85" s="6">
        <f>T85*'Front page'!$E$3</f>
        <v>34216.3279119336</v>
      </c>
      <c r="AO85" s="6">
        <f>U85*'Front page'!$E$3</f>
        <v>1710816.3955966805</v>
      </c>
      <c r="AP85" s="6">
        <f>W85*'Front page'!$E$3</f>
        <v>0</v>
      </c>
      <c r="AQ85" s="6">
        <f>V85*'Front page'!$E$3</f>
        <v>0</v>
      </c>
      <c r="AR85" s="6">
        <f>X85*'Front page'!$E$3</f>
        <v>0</v>
      </c>
      <c r="AS85" s="6">
        <f t="shared" si="16"/>
        <v>22627542.360548474</v>
      </c>
      <c r="AT85" s="7">
        <f>IF(AS85&gt;'Funding Comparison'!D85*(1+'Front page'!$H$10),'Funding Comparison'!D85*(1+'Front page'!$H$10),AS85)</f>
        <v>22627542.360548474</v>
      </c>
    </row>
    <row r="86" spans="1:46">
      <c r="A86" t="str">
        <f t="shared" si="9"/>
        <v>340</v>
      </c>
      <c r="B86">
        <f t="shared" si="11"/>
        <v>340</v>
      </c>
      <c r="C86" s="15" t="s">
        <v>95</v>
      </c>
      <c r="D86">
        <f>IF(settings!$G$4=0,'Student Enrollment Data'!AX87,'Student Enrollment Data'!CK87)</f>
        <v>4512</v>
      </c>
      <c r="E86">
        <f>IF(settings!$G$4=0,'Student Enrollment Data'!AY87,'Student Enrollment Data'!CL87)</f>
        <v>1244</v>
      </c>
      <c r="F86">
        <f>IF(settings!$G$4=0,'Student Enrollment Data'!AZ87,'Student Enrollment Data'!CM87)</f>
        <v>1468</v>
      </c>
      <c r="G86" s="25">
        <f>'Student Enrollment Data'!BK87</f>
        <v>582</v>
      </c>
      <c r="H86">
        <f>'Student Enrollment Data'!BF87</f>
        <v>1578</v>
      </c>
      <c r="I86">
        <f>SUM('Student Enrollment Data'!R87:X87,'Student Enrollment Data'!AQ87:AW87)</f>
        <v>161.09874370526285</v>
      </c>
      <c r="J86">
        <f>'Student Enrollment Data'!BS87</f>
        <v>15</v>
      </c>
      <c r="K86">
        <f t="shared" si="12"/>
        <v>451.20000000000005</v>
      </c>
      <c r="M86" s="30">
        <f t="shared" si="10"/>
        <v>4512</v>
      </c>
      <c r="N86" s="30">
        <f>E86*'Front page'!$B$20</f>
        <v>124.4</v>
      </c>
      <c r="O86" s="30">
        <f>F86*'Front page'!$B$21</f>
        <v>146.80000000000001</v>
      </c>
      <c r="P86">
        <f>G86*'Front page'!$B$18</f>
        <v>378.3</v>
      </c>
      <c r="Q86" s="30">
        <f>IF(settings!$B$4=0,Calculations!H86,Calculations!I86) *'Front page'!$B$11</f>
        <v>157.80000000000001</v>
      </c>
      <c r="R86" s="31">
        <f>ROUND(I86*'Front page'!$B$9,2)</f>
        <v>0</v>
      </c>
      <c r="S86" s="30">
        <f>J86*'Front page'!$B$14</f>
        <v>1.5</v>
      </c>
      <c r="T86" s="103">
        <f>'Front page'!$B$16*Calculations!K86</f>
        <v>9.0240000000000009</v>
      </c>
      <c r="U86" s="103">
        <f>IF(settings!$B$13=0,(Calculations!M86*'District Wealth Adjustment'!M85)-Calculations!M86,0)</f>
        <v>0</v>
      </c>
      <c r="V86" s="185">
        <f>VLOOKUP(B86,'Remote School Building Weight'!$M$2:$P$174,3,FALSE)</f>
        <v>0</v>
      </c>
      <c r="W86" s="25">
        <f>'Small Dist Weight'!V85-Calculations!D86</f>
        <v>0</v>
      </c>
      <c r="X86" s="25">
        <f>IF(settings!$P$9=0,'Large District Weight'!H85*'Large District Weight'!G85,0)</f>
        <v>0</v>
      </c>
      <c r="Y86" s="25">
        <f t="shared" si="13"/>
        <v>5329.8240000000005</v>
      </c>
      <c r="Z86" s="25">
        <f>IF(settings!$F$13=0,'Teacher Exp'!L86,0)</f>
        <v>91.117601824082996</v>
      </c>
      <c r="AA86" s="25">
        <f t="shared" si="14"/>
        <v>5420.9416018240836</v>
      </c>
      <c r="AC86" s="26">
        <f>'Student Enrollment Data'!BU87</f>
        <v>312</v>
      </c>
      <c r="AD86" s="26">
        <f t="shared" si="15"/>
        <v>451.20000000000005</v>
      </c>
      <c r="AE86" s="26">
        <f>AD86*'Front page'!$B$16</f>
        <v>9.0240000000000009</v>
      </c>
      <c r="AG86" s="6">
        <f>M86*'Front page'!$E$3</f>
        <v>19116403.112759333</v>
      </c>
      <c r="AH86" s="6">
        <f>N86*'Front page'!$E$3</f>
        <v>527056.85887129023</v>
      </c>
      <c r="AI86" s="6">
        <f>O86*'Front page'!$E$3</f>
        <v>621960.98779988266</v>
      </c>
      <c r="AJ86" s="6">
        <f>P86*'Front page'!$E$3</f>
        <v>1602778.2131110055</v>
      </c>
      <c r="AK86" s="6">
        <f>Q86*'Front page'!$E$3</f>
        <v>668565.6939701736</v>
      </c>
      <c r="AL86" s="6">
        <f>S86*'Front page'!$E$3</f>
        <v>6355.1872050396723</v>
      </c>
      <c r="AM86" s="5">
        <f>Z86*'Front page'!$E$3</f>
        <v>386046.27817754116</v>
      </c>
      <c r="AN86" s="6">
        <f>T86*'Front page'!$E$3</f>
        <v>38232.806225518674</v>
      </c>
      <c r="AO86" s="6">
        <f>U86*'Front page'!$E$3</f>
        <v>0</v>
      </c>
      <c r="AP86" s="6">
        <f>W86*'Front page'!$E$3</f>
        <v>0</v>
      </c>
      <c r="AQ86" s="6">
        <f>V86*'Front page'!$E$3</f>
        <v>0</v>
      </c>
      <c r="AR86" s="6">
        <f>X86*'Front page'!$E$3</f>
        <v>0</v>
      </c>
      <c r="AS86" s="6">
        <f t="shared" si="16"/>
        <v>22967399.138119783</v>
      </c>
      <c r="AT86" s="7">
        <f>IF(AS86&gt;'Funding Comparison'!D86*(1+'Front page'!$H$10),'Funding Comparison'!D86*(1+'Front page'!$H$10),AS86)</f>
        <v>22967399.138119783</v>
      </c>
    </row>
    <row r="87" spans="1:46">
      <c r="A87" t="str">
        <f t="shared" si="9"/>
        <v>341</v>
      </c>
      <c r="B87">
        <f t="shared" si="11"/>
        <v>341</v>
      </c>
      <c r="C87" s="15" t="s">
        <v>96</v>
      </c>
      <c r="D87">
        <f>IF(settings!$G$4=0,'Student Enrollment Data'!AX88,'Student Enrollment Data'!CK88)</f>
        <v>481.5</v>
      </c>
      <c r="E87">
        <f>IF(settings!$G$4=0,'Student Enrollment Data'!AY88,'Student Enrollment Data'!CL88)</f>
        <v>148.5</v>
      </c>
      <c r="F87">
        <f>IF(settings!$G$4=0,'Student Enrollment Data'!AZ88,'Student Enrollment Data'!CM88)</f>
        <v>129</v>
      </c>
      <c r="G87" s="25">
        <f>'Student Enrollment Data'!BK88</f>
        <v>102</v>
      </c>
      <c r="H87">
        <f>'Student Enrollment Data'!BF88</f>
        <v>216.7</v>
      </c>
      <c r="I87">
        <f>SUM('Student Enrollment Data'!R88:X88,'Student Enrollment Data'!AQ88:AW88)</f>
        <v>0</v>
      </c>
      <c r="J87">
        <f>'Student Enrollment Data'!BS88</f>
        <v>0</v>
      </c>
      <c r="K87">
        <f t="shared" si="12"/>
        <v>48.150000000000006</v>
      </c>
      <c r="M87" s="30">
        <f t="shared" si="10"/>
        <v>481.5</v>
      </c>
      <c r="N87" s="30">
        <f>E87*'Front page'!$B$20</f>
        <v>14.850000000000001</v>
      </c>
      <c r="O87" s="30">
        <f>F87*'Front page'!$B$21</f>
        <v>12.9</v>
      </c>
      <c r="P87">
        <f>G87*'Front page'!$B$18</f>
        <v>66.3</v>
      </c>
      <c r="Q87" s="30">
        <f>IF(settings!$B$4=0,Calculations!H87,Calculations!I87) *'Front page'!$B$11</f>
        <v>21.67</v>
      </c>
      <c r="R87" s="31">
        <f>ROUND(I87*'Front page'!$B$9,2)</f>
        <v>0</v>
      </c>
      <c r="S87" s="30">
        <f>J87*'Front page'!$B$14</f>
        <v>0</v>
      </c>
      <c r="T87" s="103">
        <f>'Front page'!$B$16*Calculations!K87</f>
        <v>0.96300000000000019</v>
      </c>
      <c r="U87" s="103">
        <f>IF(settings!$B$13=0,(Calculations!M87*'District Wealth Adjustment'!M86)-Calculations!M87,0)</f>
        <v>48.150000000000091</v>
      </c>
      <c r="V87" s="185">
        <f>VLOOKUP(B87,'Remote School Building Weight'!$M$2:$P$174,3,FALSE)</f>
        <v>0</v>
      </c>
      <c r="W87" s="25">
        <f>'Small Dist Weight'!V86-Calculations!D87</f>
        <v>172.98424960815055</v>
      </c>
      <c r="X87" s="25">
        <f>IF(settings!$P$9=0,'Large District Weight'!H86*'Large District Weight'!G86,0)</f>
        <v>0</v>
      </c>
      <c r="Y87" s="25">
        <f t="shared" si="13"/>
        <v>819.31724960815052</v>
      </c>
      <c r="Z87" s="25">
        <f>IF(settings!$F$13=0,'Teacher Exp'!L87,0)</f>
        <v>16.834800278396486</v>
      </c>
      <c r="AA87" s="25">
        <f t="shared" si="14"/>
        <v>836.15204988654705</v>
      </c>
      <c r="AC87" s="26">
        <f>'Student Enrollment Data'!BU88</f>
        <v>21</v>
      </c>
      <c r="AD87" s="26">
        <f t="shared" si="15"/>
        <v>48.150000000000006</v>
      </c>
      <c r="AE87" s="26">
        <f>AD87*'Front page'!$B$16</f>
        <v>0.96300000000000019</v>
      </c>
      <c r="AG87" s="6">
        <f>M87*'Front page'!$E$3</f>
        <v>2040015.0928177349</v>
      </c>
      <c r="AH87" s="6">
        <f>N87*'Front page'!$E$3</f>
        <v>62916.353329892765</v>
      </c>
      <c r="AI87" s="6">
        <f>O87*'Front page'!$E$3</f>
        <v>54654.609963341187</v>
      </c>
      <c r="AJ87" s="6">
        <f>P87*'Front page'!$E$3</f>
        <v>280899.2744627535</v>
      </c>
      <c r="AK87" s="6">
        <f>Q87*'Front page'!$E$3</f>
        <v>91811.271155473136</v>
      </c>
      <c r="AL87" s="6">
        <f>S87*'Front page'!$E$3</f>
        <v>0</v>
      </c>
      <c r="AM87" s="5">
        <f>Z87*'Front page'!$E$3</f>
        <v>71325.538219109105</v>
      </c>
      <c r="AN87" s="6">
        <f>T87*'Front page'!$E$3</f>
        <v>4080.0301856354704</v>
      </c>
      <c r="AO87" s="6">
        <f>U87*'Front page'!$E$3</f>
        <v>204001.50928177388</v>
      </c>
      <c r="AP87" s="6">
        <f>W87*'Front page'!$E$3</f>
        <v>732898.19318873819</v>
      </c>
      <c r="AQ87" s="6">
        <f>V87*'Front page'!$E$3</f>
        <v>0</v>
      </c>
      <c r="AR87" s="6">
        <f>X87*'Front page'!$E$3</f>
        <v>0</v>
      </c>
      <c r="AS87" s="6">
        <f t="shared" si="16"/>
        <v>3542601.8726044525</v>
      </c>
      <c r="AT87" s="7">
        <f>IF(AS87&gt;'Funding Comparison'!D87*(1+'Front page'!$H$10),'Funding Comparison'!D87*(1+'Front page'!$H$10),AS87)</f>
        <v>3200171.1549999998</v>
      </c>
    </row>
    <row r="88" spans="1:46">
      <c r="A88" t="str">
        <f t="shared" si="9"/>
        <v>342</v>
      </c>
      <c r="B88">
        <f t="shared" si="11"/>
        <v>342</v>
      </c>
      <c r="C88" s="15" t="s">
        <v>97</v>
      </c>
      <c r="D88">
        <f>IF(settings!$G$4=0,'Student Enrollment Data'!AX89,'Student Enrollment Data'!CK89)</f>
        <v>85</v>
      </c>
      <c r="E88">
        <f>IF(settings!$G$4=0,'Student Enrollment Data'!AY89,'Student Enrollment Data'!CL89)</f>
        <v>23</v>
      </c>
      <c r="F88">
        <f>IF(settings!$G$4=0,'Student Enrollment Data'!AZ89,'Student Enrollment Data'!CM89)</f>
        <v>29</v>
      </c>
      <c r="G88" s="25">
        <f>'Student Enrollment Data'!BK89</f>
        <v>17</v>
      </c>
      <c r="H88">
        <f>'Student Enrollment Data'!BF89</f>
        <v>50</v>
      </c>
      <c r="I88">
        <f>SUM('Student Enrollment Data'!R89:X89,'Student Enrollment Data'!AQ89:AW89)</f>
        <v>0</v>
      </c>
      <c r="J88">
        <f>'Student Enrollment Data'!BS89</f>
        <v>0</v>
      </c>
      <c r="K88">
        <f t="shared" si="12"/>
        <v>8.5</v>
      </c>
      <c r="M88" s="30">
        <f t="shared" si="10"/>
        <v>85</v>
      </c>
      <c r="N88" s="30">
        <f>E88*'Front page'!$B$20</f>
        <v>2.3000000000000003</v>
      </c>
      <c r="O88" s="30">
        <f>F88*'Front page'!$B$21</f>
        <v>2.9000000000000004</v>
      </c>
      <c r="P88">
        <f>G88*'Front page'!$B$18</f>
        <v>11.05</v>
      </c>
      <c r="Q88" s="30">
        <f>IF(settings!$B$4=0,Calculations!H88,Calculations!I88) *'Front page'!$B$11</f>
        <v>5</v>
      </c>
      <c r="R88" s="31">
        <f>ROUND(I88*'Front page'!$B$9,2)</f>
        <v>0</v>
      </c>
      <c r="S88" s="30">
        <f>J88*'Front page'!$B$14</f>
        <v>0</v>
      </c>
      <c r="T88" s="103">
        <f>'Front page'!$B$16*Calculations!K88</f>
        <v>0.17</v>
      </c>
      <c r="U88" s="103">
        <f>IF(settings!$B$13=0,(Calculations!M88*'District Wealth Adjustment'!M87)-Calculations!M88,0)</f>
        <v>0</v>
      </c>
      <c r="V88" s="185">
        <f>VLOOKUP(B88,'Remote School Building Weight'!$M$2:$P$174,3,FALSE)</f>
        <v>0</v>
      </c>
      <c r="W88" s="25">
        <f>'Small Dist Weight'!V87-Calculations!D88</f>
        <v>182.85655172413794</v>
      </c>
      <c r="X88" s="25">
        <f>IF(settings!$P$9=0,'Large District Weight'!H87*'Large District Weight'!G87,0)</f>
        <v>0</v>
      </c>
      <c r="Y88" s="25">
        <f t="shared" si="13"/>
        <v>289.27655172413796</v>
      </c>
      <c r="Z88" s="25">
        <f>IF(settings!$F$13=0,'Teacher Exp'!L88,0)</f>
        <v>0</v>
      </c>
      <c r="AA88" s="25">
        <f t="shared" si="14"/>
        <v>289.27655172413796</v>
      </c>
      <c r="AC88" s="26">
        <f>'Student Enrollment Data'!BU89</f>
        <v>0</v>
      </c>
      <c r="AD88" s="26">
        <f t="shared" si="15"/>
        <v>8.5</v>
      </c>
      <c r="AE88" s="26">
        <f>AD88*'Front page'!$B$16</f>
        <v>0.17</v>
      </c>
      <c r="AG88" s="6">
        <f>M88*'Front page'!$E$3</f>
        <v>360127.27495224809</v>
      </c>
      <c r="AH88" s="6">
        <f>N88*'Front page'!$E$3</f>
        <v>9744.6203810608313</v>
      </c>
      <c r="AI88" s="6">
        <f>O88*'Front page'!$E$3</f>
        <v>12286.695263076701</v>
      </c>
      <c r="AJ88" s="6">
        <f>P88*'Front page'!$E$3</f>
        <v>46816.545743792252</v>
      </c>
      <c r="AK88" s="6">
        <f>Q88*'Front page'!$E$3</f>
        <v>21183.957350132241</v>
      </c>
      <c r="AL88" s="6">
        <f>S88*'Front page'!$E$3</f>
        <v>0</v>
      </c>
      <c r="AM88" s="5">
        <f>Z88*'Front page'!$E$3</f>
        <v>0</v>
      </c>
      <c r="AN88" s="6">
        <f>T88*'Front page'!$E$3</f>
        <v>720.25454990449623</v>
      </c>
      <c r="AO88" s="6">
        <f>U88*'Front page'!$E$3</f>
        <v>0</v>
      </c>
      <c r="AP88" s="6">
        <f>W88*'Front page'!$E$3</f>
        <v>774725.07858327765</v>
      </c>
      <c r="AQ88" s="6">
        <f>V88*'Front page'!$E$3</f>
        <v>0</v>
      </c>
      <c r="AR88" s="6">
        <f>X88*'Front page'!$E$3</f>
        <v>0</v>
      </c>
      <c r="AS88" s="6">
        <f t="shared" si="16"/>
        <v>1225604.4268234922</v>
      </c>
      <c r="AT88" s="7">
        <f>IF(AS88&gt;'Funding Comparison'!D88*(1+'Front page'!$H$10),'Funding Comparison'!D88*(1+'Front page'!$H$10),AS88)</f>
        <v>1225604.4268234922</v>
      </c>
    </row>
    <row r="89" spans="1:46">
      <c r="A89" t="str">
        <f t="shared" si="9"/>
        <v>351</v>
      </c>
      <c r="B89">
        <f t="shared" si="11"/>
        <v>351</v>
      </c>
      <c r="C89" s="15" t="s">
        <v>98</v>
      </c>
      <c r="D89">
        <f>IF(settings!$G$4=0,'Student Enrollment Data'!AX90,'Student Enrollment Data'!CK90)</f>
        <v>2273</v>
      </c>
      <c r="E89">
        <f>IF(settings!$G$4=0,'Student Enrollment Data'!AY90,'Student Enrollment Data'!CL90)</f>
        <v>901</v>
      </c>
      <c r="F89">
        <f>IF(settings!$G$4=0,'Student Enrollment Data'!AZ90,'Student Enrollment Data'!CM90)</f>
        <v>224</v>
      </c>
      <c r="G89" s="25">
        <f>'Student Enrollment Data'!BK90</f>
        <v>130</v>
      </c>
      <c r="H89">
        <f>'Student Enrollment Data'!BF90</f>
        <v>1902</v>
      </c>
      <c r="I89">
        <f>SUM('Student Enrollment Data'!R90:X90,'Student Enrollment Data'!AQ90:AW90)</f>
        <v>12.18402777777778</v>
      </c>
      <c r="J89">
        <f>'Student Enrollment Data'!BS90</f>
        <v>6</v>
      </c>
      <c r="K89">
        <f t="shared" si="12"/>
        <v>227.3</v>
      </c>
      <c r="M89" s="30">
        <f t="shared" si="10"/>
        <v>2273</v>
      </c>
      <c r="N89" s="30">
        <f>E89*'Front page'!$B$20</f>
        <v>90.100000000000009</v>
      </c>
      <c r="O89" s="30">
        <f>F89*'Front page'!$B$21</f>
        <v>22.400000000000002</v>
      </c>
      <c r="P89">
        <f>G89*'Front page'!$B$18</f>
        <v>84.5</v>
      </c>
      <c r="Q89" s="30">
        <f>IF(settings!$B$4=0,Calculations!H89,Calculations!I89) *'Front page'!$B$11</f>
        <v>190.20000000000002</v>
      </c>
      <c r="R89" s="31">
        <f>ROUND(I89*'Front page'!$B$9,2)</f>
        <v>0</v>
      </c>
      <c r="S89" s="30">
        <f>J89*'Front page'!$B$14</f>
        <v>0.60000000000000009</v>
      </c>
      <c r="T89" s="103">
        <f>'Front page'!$B$16*Calculations!K89</f>
        <v>4.5460000000000003</v>
      </c>
      <c r="U89" s="103">
        <f>IF(settings!$B$13=0,(Calculations!M89*'District Wealth Adjustment'!M88)-Calculations!M89,0)</f>
        <v>227.30000000000018</v>
      </c>
      <c r="V89" s="185">
        <f>VLOOKUP(B89,'Remote School Building Weight'!$M$2:$P$174,3,FALSE)</f>
        <v>13.020711864406751</v>
      </c>
      <c r="W89" s="25">
        <f>'Small Dist Weight'!V88-Calculations!D89</f>
        <v>92.859224137931051</v>
      </c>
      <c r="X89" s="25">
        <f>IF(settings!$P$9=0,'Large District Weight'!H88*'Large District Weight'!G88,0)</f>
        <v>0</v>
      </c>
      <c r="Y89" s="25">
        <f t="shared" si="13"/>
        <v>2998.5259360023374</v>
      </c>
      <c r="Z89" s="25">
        <f>IF(settings!$F$13=0,'Teacher Exp'!L89,0)</f>
        <v>0</v>
      </c>
      <c r="AA89" s="25">
        <f t="shared" si="14"/>
        <v>2998.5259360023374</v>
      </c>
      <c r="AC89" s="26">
        <f>'Student Enrollment Data'!BU90</f>
        <v>83</v>
      </c>
      <c r="AD89" s="26">
        <f t="shared" si="15"/>
        <v>227.3</v>
      </c>
      <c r="AE89" s="26">
        <f>AD89*'Front page'!$B$16</f>
        <v>4.5460000000000003</v>
      </c>
      <c r="AG89" s="6">
        <f>M89*'Front page'!$E$3</f>
        <v>9630227.0113701168</v>
      </c>
      <c r="AH89" s="6">
        <f>N89*'Front page'!$E$3</f>
        <v>381734.91144938301</v>
      </c>
      <c r="AI89" s="6">
        <f>O89*'Front page'!$E$3</f>
        <v>94904.128928592443</v>
      </c>
      <c r="AJ89" s="6">
        <f>P89*'Front page'!$E$3</f>
        <v>358008.87921723485</v>
      </c>
      <c r="AK89" s="6">
        <f>Q89*'Front page'!$E$3</f>
        <v>805837.73759903049</v>
      </c>
      <c r="AL89" s="6">
        <f>S89*'Front page'!$E$3</f>
        <v>2542.0748820158692</v>
      </c>
      <c r="AM89" s="5">
        <f>Z89*'Front page'!$E$3</f>
        <v>0</v>
      </c>
      <c r="AN89" s="6">
        <f>T89*'Front page'!$E$3</f>
        <v>19260.454022740236</v>
      </c>
      <c r="AO89" s="6">
        <f>U89*'Front page'!$E$3</f>
        <v>963022.70113701245</v>
      </c>
      <c r="AP89" s="6">
        <f>W89*'Front page'!$E$3</f>
        <v>393425.16874086036</v>
      </c>
      <c r="AQ89" s="6">
        <f>V89*'Front page'!$E$3</f>
        <v>55166.040960790691</v>
      </c>
      <c r="AR89" s="6">
        <f>X89*'Front page'!$E$3</f>
        <v>0</v>
      </c>
      <c r="AS89" s="6">
        <f t="shared" si="16"/>
        <v>12704129.108307777</v>
      </c>
      <c r="AT89" s="7">
        <f>IF(AS89&gt;'Funding Comparison'!D89*(1+'Front page'!$H$10),'Funding Comparison'!D89*(1+'Front page'!$H$10),AS89)</f>
        <v>7625823.7555</v>
      </c>
    </row>
    <row r="90" spans="1:46">
      <c r="A90" t="str">
        <f t="shared" si="9"/>
        <v>363</v>
      </c>
      <c r="B90">
        <f t="shared" si="11"/>
        <v>363</v>
      </c>
      <c r="C90" s="15" t="s">
        <v>99</v>
      </c>
      <c r="D90">
        <f>IF(settings!$G$4=0,'Student Enrollment Data'!AX91,'Student Enrollment Data'!CK91)</f>
        <v>826.5</v>
      </c>
      <c r="E90">
        <f>IF(settings!$G$4=0,'Student Enrollment Data'!AY91,'Student Enrollment Data'!CL91)</f>
        <v>217.5</v>
      </c>
      <c r="F90">
        <f>IF(settings!$G$4=0,'Student Enrollment Data'!AZ91,'Student Enrollment Data'!CM91)</f>
        <v>265</v>
      </c>
      <c r="G90" s="25">
        <f>'Student Enrollment Data'!BK91</f>
        <v>73</v>
      </c>
      <c r="H90">
        <f>'Student Enrollment Data'!BF91</f>
        <v>561</v>
      </c>
      <c r="I90">
        <f>SUM('Student Enrollment Data'!R91:X91,'Student Enrollment Data'!AQ91:AW91)</f>
        <v>0</v>
      </c>
      <c r="J90">
        <f>'Student Enrollment Data'!BS91</f>
        <v>143</v>
      </c>
      <c r="K90">
        <f t="shared" si="12"/>
        <v>82.65</v>
      </c>
      <c r="M90" s="30">
        <f t="shared" si="10"/>
        <v>826.5</v>
      </c>
      <c r="N90" s="30">
        <f>E90*'Front page'!$B$20</f>
        <v>21.75</v>
      </c>
      <c r="O90" s="30">
        <f>F90*'Front page'!$B$21</f>
        <v>26.5</v>
      </c>
      <c r="P90">
        <f>G90*'Front page'!$B$18</f>
        <v>47.45</v>
      </c>
      <c r="Q90" s="30">
        <f>IF(settings!$B$4=0,Calculations!H90,Calculations!I90) *'Front page'!$B$11</f>
        <v>56.1</v>
      </c>
      <c r="R90" s="31">
        <f>ROUND(I90*'Front page'!$B$9,2)</f>
        <v>0</v>
      </c>
      <c r="S90" s="30">
        <f>J90*'Front page'!$B$14</f>
        <v>14.3</v>
      </c>
      <c r="T90" s="103">
        <f>'Front page'!$B$16*Calculations!K90</f>
        <v>1.6530000000000002</v>
      </c>
      <c r="U90" s="103">
        <f>IF(settings!$B$13=0,(Calculations!M90*'District Wealth Adjustment'!M89)-Calculations!M90,0)</f>
        <v>82.650000000000091</v>
      </c>
      <c r="V90" s="185">
        <f>VLOOKUP(B90,'Remote School Building Weight'!$M$2:$P$174,3,FALSE)</f>
        <v>0</v>
      </c>
      <c r="W90" s="25">
        <f>'Small Dist Weight'!V89-Calculations!D90</f>
        <v>128.72275862068966</v>
      </c>
      <c r="X90" s="25">
        <f>IF(settings!$P$9=0,'Large District Weight'!H89*'Large District Weight'!G89,0)</f>
        <v>0</v>
      </c>
      <c r="Y90" s="25">
        <f t="shared" si="13"/>
        <v>1205.6257586206898</v>
      </c>
      <c r="Z90" s="25">
        <f>IF(settings!$F$13=0,'Teacher Exp'!L90,0)</f>
        <v>0</v>
      </c>
      <c r="AA90" s="25">
        <f t="shared" si="14"/>
        <v>1205.6257586206898</v>
      </c>
      <c r="AC90" s="26">
        <f>'Student Enrollment Data'!BU91</f>
        <v>33</v>
      </c>
      <c r="AD90" s="26">
        <f t="shared" si="15"/>
        <v>82.65</v>
      </c>
      <c r="AE90" s="26">
        <f>AD90*'Front page'!$B$16</f>
        <v>1.6530000000000002</v>
      </c>
      <c r="AG90" s="6">
        <f>M90*'Front page'!$E$3</f>
        <v>3501708.1499768593</v>
      </c>
      <c r="AH90" s="6">
        <f>N90*'Front page'!$E$3</f>
        <v>92150.214473075248</v>
      </c>
      <c r="AI90" s="6">
        <f>O90*'Front page'!$E$3</f>
        <v>112274.97395570087</v>
      </c>
      <c r="AJ90" s="6">
        <f>P90*'Front page'!$E$3</f>
        <v>201035.75525275499</v>
      </c>
      <c r="AK90" s="6">
        <f>Q90*'Front page'!$E$3</f>
        <v>237684.00146848374</v>
      </c>
      <c r="AL90" s="6">
        <f>S90*'Front page'!$E$3</f>
        <v>60586.118021378214</v>
      </c>
      <c r="AM90" s="5">
        <f>Z90*'Front page'!$E$3</f>
        <v>0</v>
      </c>
      <c r="AN90" s="6">
        <f>T90*'Front page'!$E$3</f>
        <v>7003.4162999537202</v>
      </c>
      <c r="AO90" s="6">
        <f>U90*'Front page'!$E$3</f>
        <v>350170.81499768631</v>
      </c>
      <c r="AP90" s="6">
        <f>W90*'Front page'!$E$3</f>
        <v>545371.48572241142</v>
      </c>
      <c r="AQ90" s="6">
        <f>V90*'Front page'!$E$3</f>
        <v>0</v>
      </c>
      <c r="AR90" s="6">
        <f>X90*'Front page'!$E$3</f>
        <v>0</v>
      </c>
      <c r="AS90" s="6">
        <f t="shared" si="16"/>
        <v>5107984.9301683037</v>
      </c>
      <c r="AT90" s="7">
        <f>IF(AS90&gt;'Funding Comparison'!D90*(1+'Front page'!$H$10),'Funding Comparison'!D90*(1+'Front page'!$H$10),AS90)</f>
        <v>4810857.8449999997</v>
      </c>
    </row>
    <row r="91" spans="1:46">
      <c r="A91" t="str">
        <f t="shared" si="9"/>
        <v>364</v>
      </c>
      <c r="B91">
        <f t="shared" si="11"/>
        <v>364</v>
      </c>
      <c r="C91" s="15" t="s">
        <v>100</v>
      </c>
      <c r="D91">
        <f>IF(settings!$G$4=0,'Student Enrollment Data'!AX92,'Student Enrollment Data'!CK92)</f>
        <v>6</v>
      </c>
      <c r="E91">
        <f>IF(settings!$G$4=0,'Student Enrollment Data'!AY92,'Student Enrollment Data'!CL92)</f>
        <v>4</v>
      </c>
      <c r="F91">
        <f>IF(settings!$G$4=0,'Student Enrollment Data'!AZ92,'Student Enrollment Data'!CM92)</f>
        <v>0</v>
      </c>
      <c r="G91" s="25">
        <f>'Student Enrollment Data'!BK92</f>
        <v>1.0160932441191366</v>
      </c>
      <c r="H91">
        <f>'Student Enrollment Data'!BF92</f>
        <v>2.58</v>
      </c>
      <c r="I91">
        <f>SUM('Student Enrollment Data'!R92:X92,'Student Enrollment Data'!AQ92:AW92)</f>
        <v>0</v>
      </c>
      <c r="J91">
        <f>'Student Enrollment Data'!BS92</f>
        <v>0</v>
      </c>
      <c r="K91">
        <f t="shared" si="12"/>
        <v>3</v>
      </c>
      <c r="M91" s="30">
        <f t="shared" si="10"/>
        <v>30</v>
      </c>
      <c r="N91" s="30">
        <f>E91*'Front page'!$B$20</f>
        <v>0.4</v>
      </c>
      <c r="O91" s="30">
        <f>F91*'Front page'!$B$21</f>
        <v>0</v>
      </c>
      <c r="P91">
        <f>G91*'Front page'!$B$18</f>
        <v>0.66046060867743883</v>
      </c>
      <c r="Q91" s="30">
        <f>IF(settings!$B$4=0,Calculations!H91,Calculations!I91) *'Front page'!$B$11</f>
        <v>0.25800000000000001</v>
      </c>
      <c r="R91" s="31">
        <f>ROUND(I91*'Front page'!$B$9,2)</f>
        <v>0</v>
      </c>
      <c r="S91" s="30">
        <f>J91*'Front page'!$B$14</f>
        <v>0</v>
      </c>
      <c r="T91" s="103">
        <f>'Front page'!$B$16*Calculations!K91</f>
        <v>0.06</v>
      </c>
      <c r="U91" s="103">
        <f>IF(settings!$B$13=0,(Calculations!M91*'District Wealth Adjustment'!M90)-Calculations!M91,0)</f>
        <v>0</v>
      </c>
      <c r="V91" s="185">
        <f>VLOOKUP(B91,'Remote School Building Weight'!$M$2:$P$174,3,FALSE)</f>
        <v>0</v>
      </c>
      <c r="W91" s="25">
        <f>'Small Dist Weight'!V90-Calculations!D91</f>
        <v>6.2999999999999989</v>
      </c>
      <c r="X91" s="25">
        <f>IF(settings!$P$9=0,'Large District Weight'!H90*'Large District Weight'!G90,0)</f>
        <v>0</v>
      </c>
      <c r="Y91" s="25">
        <f t="shared" si="13"/>
        <v>37.678460608677433</v>
      </c>
      <c r="Z91" s="25">
        <f>IF(settings!$F$13=0,'Teacher Exp'!L91,0)</f>
        <v>0</v>
      </c>
      <c r="AA91" s="25">
        <f t="shared" si="14"/>
        <v>37.678460608677433</v>
      </c>
      <c r="AC91" s="26">
        <f>'Student Enrollment Data'!BU92</f>
        <v>0</v>
      </c>
      <c r="AD91" s="26">
        <f t="shared" si="15"/>
        <v>3</v>
      </c>
      <c r="AE91" s="26">
        <f>AD91*'Front page'!$B$16</f>
        <v>0.06</v>
      </c>
      <c r="AG91" s="6">
        <f>M91*'Front page'!$E$3</f>
        <v>127103.74410079344</v>
      </c>
      <c r="AH91" s="6">
        <f>N91*'Front page'!$E$3</f>
        <v>1694.7165880105795</v>
      </c>
      <c r="AI91" s="6">
        <f>O91*'Front page'!$E$3</f>
        <v>0</v>
      </c>
      <c r="AJ91" s="6">
        <f>P91*'Front page'!$E$3</f>
        <v>2798.2338731330487</v>
      </c>
      <c r="AK91" s="6">
        <f>Q91*'Front page'!$E$3</f>
        <v>1093.0921992668236</v>
      </c>
      <c r="AL91" s="6">
        <f>S91*'Front page'!$E$3</f>
        <v>0</v>
      </c>
      <c r="AM91" s="5">
        <f>Z91*'Front page'!$E$3</f>
        <v>0</v>
      </c>
      <c r="AN91" s="6">
        <f>T91*'Front page'!$E$3</f>
        <v>254.2074882015869</v>
      </c>
      <c r="AO91" s="6">
        <f>U91*'Front page'!$E$3</f>
        <v>0</v>
      </c>
      <c r="AP91" s="6">
        <f>W91*'Front page'!$E$3</f>
        <v>26691.786261166621</v>
      </c>
      <c r="AQ91" s="6">
        <f>V91*'Front page'!$E$3</f>
        <v>0</v>
      </c>
      <c r="AR91" s="6">
        <f>X91*'Front page'!$E$3</f>
        <v>0</v>
      </c>
      <c r="AS91" s="6">
        <f t="shared" si="16"/>
        <v>159635.78051057211</v>
      </c>
      <c r="AT91" s="7">
        <f>IF(AS91&gt;'Funding Comparison'!D91*(1+'Front page'!$H$10),'Funding Comparison'!D91*(1+'Front page'!$H$10),AS91)</f>
        <v>159635.78051057211</v>
      </c>
    </row>
    <row r="92" spans="1:46">
      <c r="A92" t="str">
        <f t="shared" si="9"/>
        <v>365</v>
      </c>
      <c r="B92">
        <f t="shared" si="11"/>
        <v>365</v>
      </c>
      <c r="C92" s="15" t="s">
        <v>101</v>
      </c>
      <c r="D92">
        <f>IF(settings!$G$4=0,'Student Enrollment Data'!AX93,'Student Enrollment Data'!CK93)</f>
        <v>290.5</v>
      </c>
      <c r="E92">
        <f>IF(settings!$G$4=0,'Student Enrollment Data'!AY93,'Student Enrollment Data'!CL93)</f>
        <v>68.5</v>
      </c>
      <c r="F92">
        <f>IF(settings!$G$4=0,'Student Enrollment Data'!AZ93,'Student Enrollment Data'!CM93)</f>
        <v>96</v>
      </c>
      <c r="G92" s="25">
        <f>'Student Enrollment Data'!BK93</f>
        <v>32</v>
      </c>
      <c r="H92">
        <f>'Student Enrollment Data'!BF93</f>
        <v>180</v>
      </c>
      <c r="I92">
        <f>SUM('Student Enrollment Data'!R93:X93,'Student Enrollment Data'!AQ93:AW93)</f>
        <v>0</v>
      </c>
      <c r="J92">
        <f>'Student Enrollment Data'!BS93</f>
        <v>53</v>
      </c>
      <c r="K92">
        <f t="shared" si="12"/>
        <v>29.05</v>
      </c>
      <c r="M92" s="30">
        <f t="shared" si="10"/>
        <v>290.5</v>
      </c>
      <c r="N92" s="30">
        <f>E92*'Front page'!$B$20</f>
        <v>6.8500000000000005</v>
      </c>
      <c r="O92" s="30">
        <f>F92*'Front page'!$B$21</f>
        <v>9.6000000000000014</v>
      </c>
      <c r="P92">
        <f>G92*'Front page'!$B$18</f>
        <v>20.8</v>
      </c>
      <c r="Q92" s="30">
        <f>IF(settings!$B$4=0,Calculations!H92,Calculations!I92) *'Front page'!$B$11</f>
        <v>18</v>
      </c>
      <c r="R92" s="31">
        <f>ROUND(I92*'Front page'!$B$9,2)</f>
        <v>0</v>
      </c>
      <c r="S92" s="30">
        <f>J92*'Front page'!$B$14</f>
        <v>5.3000000000000007</v>
      </c>
      <c r="T92" s="103">
        <f>'Front page'!$B$16*Calculations!K92</f>
        <v>0.58100000000000007</v>
      </c>
      <c r="U92" s="103">
        <f>IF(settings!$B$13=0,(Calculations!M92*'District Wealth Adjustment'!M91)-Calculations!M92,0)</f>
        <v>0</v>
      </c>
      <c r="V92" s="185">
        <f>VLOOKUP(B92,'Remote School Building Weight'!$M$2:$P$174,3,FALSE)</f>
        <v>43.498948320961446</v>
      </c>
      <c r="W92" s="25">
        <f>'Small Dist Weight'!V91-Calculations!D92</f>
        <v>167.62406543887153</v>
      </c>
      <c r="X92" s="25">
        <f>IF(settings!$P$9=0,'Large District Weight'!H91*'Large District Weight'!G91,0)</f>
        <v>0</v>
      </c>
      <c r="Y92" s="25">
        <f t="shared" si="13"/>
        <v>562.75401375983301</v>
      </c>
      <c r="Z92" s="25">
        <f>IF(settings!$F$13=0,'Teacher Exp'!L92,0)</f>
        <v>0</v>
      </c>
      <c r="AA92" s="25">
        <f t="shared" si="14"/>
        <v>562.75401375983301</v>
      </c>
      <c r="AC92" s="26">
        <f>'Student Enrollment Data'!BU93</f>
        <v>4</v>
      </c>
      <c r="AD92" s="26">
        <f t="shared" si="15"/>
        <v>29.05</v>
      </c>
      <c r="AE92" s="26">
        <f>AD92*'Front page'!$B$16</f>
        <v>0.58100000000000007</v>
      </c>
      <c r="AG92" s="6">
        <f>M92*'Front page'!$E$3</f>
        <v>1230787.9220426832</v>
      </c>
      <c r="AH92" s="6">
        <f>N92*'Front page'!$E$3</f>
        <v>29022.021569681172</v>
      </c>
      <c r="AI92" s="6">
        <f>O92*'Front page'!$E$3</f>
        <v>40673.198112253907</v>
      </c>
      <c r="AJ92" s="6">
        <f>P92*'Front page'!$E$3</f>
        <v>88125.262576550129</v>
      </c>
      <c r="AK92" s="6">
        <f>Q92*'Front page'!$E$3</f>
        <v>76262.246460476075</v>
      </c>
      <c r="AL92" s="6">
        <f>S92*'Front page'!$E$3</f>
        <v>22454.99479114018</v>
      </c>
      <c r="AM92" s="5">
        <f>Z92*'Front page'!$E$3</f>
        <v>0</v>
      </c>
      <c r="AN92" s="6">
        <f>T92*'Front page'!$E$3</f>
        <v>2461.5758440853665</v>
      </c>
      <c r="AO92" s="6">
        <f>U92*'Front page'!$E$3</f>
        <v>0</v>
      </c>
      <c r="AP92" s="6">
        <f>W92*'Front page'!$E$3</f>
        <v>710188.21062256605</v>
      </c>
      <c r="AQ92" s="6">
        <f>V92*'Front page'!$E$3</f>
        <v>184295.97320137074</v>
      </c>
      <c r="AR92" s="6">
        <f>X92*'Front page'!$E$3</f>
        <v>0</v>
      </c>
      <c r="AS92" s="6">
        <f t="shared" si="16"/>
        <v>2384271.4052208066</v>
      </c>
      <c r="AT92" s="7">
        <f>IF(AS92&gt;'Funding Comparison'!D92*(1+'Front page'!$H$10),'Funding Comparison'!D92*(1+'Front page'!$H$10),AS92)</f>
        <v>2316347.1984999999</v>
      </c>
    </row>
    <row r="93" spans="1:46">
      <c r="A93" t="str">
        <f t="shared" si="9"/>
        <v>370</v>
      </c>
      <c r="B93">
        <f t="shared" si="11"/>
        <v>370</v>
      </c>
      <c r="C93" s="15" t="s">
        <v>102</v>
      </c>
      <c r="D93">
        <f>IF(settings!$G$4=0,'Student Enrollment Data'!AX94,'Student Enrollment Data'!CK94)</f>
        <v>1168</v>
      </c>
      <c r="E93">
        <f>IF(settings!$G$4=0,'Student Enrollment Data'!AY94,'Student Enrollment Data'!CL94)</f>
        <v>312</v>
      </c>
      <c r="F93">
        <f>IF(settings!$G$4=0,'Student Enrollment Data'!AZ94,'Student Enrollment Data'!CM94)</f>
        <v>365</v>
      </c>
      <c r="G93" s="25">
        <f>'Student Enrollment Data'!BK94</f>
        <v>117</v>
      </c>
      <c r="H93">
        <f>'Student Enrollment Data'!BF94</f>
        <v>755</v>
      </c>
      <c r="I93">
        <f>SUM('Student Enrollment Data'!R94:X94,'Student Enrollment Data'!AQ94:AW94)</f>
        <v>0</v>
      </c>
      <c r="J93">
        <f>'Student Enrollment Data'!BS94</f>
        <v>196</v>
      </c>
      <c r="K93">
        <f t="shared" si="12"/>
        <v>116.80000000000001</v>
      </c>
      <c r="M93" s="30">
        <f t="shared" si="10"/>
        <v>1168</v>
      </c>
      <c r="N93" s="30">
        <f>E93*'Front page'!$B$20</f>
        <v>31.200000000000003</v>
      </c>
      <c r="O93" s="30">
        <f>F93*'Front page'!$B$21</f>
        <v>36.5</v>
      </c>
      <c r="P93">
        <f>G93*'Front page'!$B$18</f>
        <v>76.05</v>
      </c>
      <c r="Q93" s="30">
        <f>IF(settings!$B$4=0,Calculations!H93,Calculations!I93) *'Front page'!$B$11</f>
        <v>75.5</v>
      </c>
      <c r="R93" s="31">
        <f>ROUND(I93*'Front page'!$B$9,2)</f>
        <v>0</v>
      </c>
      <c r="S93" s="30">
        <f>J93*'Front page'!$B$14</f>
        <v>19.600000000000001</v>
      </c>
      <c r="T93" s="103">
        <f>'Front page'!$B$16*Calculations!K93</f>
        <v>2.3360000000000003</v>
      </c>
      <c r="U93" s="103">
        <f>IF(settings!$B$13=0,(Calculations!M93*'District Wealth Adjustment'!M92)-Calculations!M93,0)</f>
        <v>116.80000000000018</v>
      </c>
      <c r="V93" s="185">
        <f>VLOOKUP(B93,'Remote School Building Weight'!$M$2:$P$174,3,FALSE)</f>
        <v>0</v>
      </c>
      <c r="W93" s="25">
        <f>'Small Dist Weight'!V92-Calculations!D93</f>
        <v>105.05793103448286</v>
      </c>
      <c r="X93" s="25">
        <f>IF(settings!$P$9=0,'Large District Weight'!H92*'Large District Weight'!G92,0)</f>
        <v>0</v>
      </c>
      <c r="Y93" s="25">
        <f t="shared" si="13"/>
        <v>1631.043931034483</v>
      </c>
      <c r="Z93" s="25">
        <f>IF(settings!$F$13=0,'Teacher Exp'!L93,0)</f>
        <v>0</v>
      </c>
      <c r="AA93" s="25">
        <f t="shared" si="14"/>
        <v>1631.043931034483</v>
      </c>
      <c r="AC93" s="26">
        <f>'Student Enrollment Data'!BU94</f>
        <v>39</v>
      </c>
      <c r="AD93" s="26">
        <f t="shared" si="15"/>
        <v>116.80000000000001</v>
      </c>
      <c r="AE93" s="26">
        <f>AD93*'Front page'!$B$16</f>
        <v>2.3360000000000003</v>
      </c>
      <c r="AG93" s="6">
        <f>M93*'Front page'!$E$3</f>
        <v>4948572.4369908916</v>
      </c>
      <c r="AH93" s="6">
        <f>N93*'Front page'!$E$3</f>
        <v>132187.89386482519</v>
      </c>
      <c r="AI93" s="6">
        <f>O93*'Front page'!$E$3</f>
        <v>154642.88865596536</v>
      </c>
      <c r="AJ93" s="6">
        <f>P93*'Front page'!$E$3</f>
        <v>322207.99129551137</v>
      </c>
      <c r="AK93" s="6">
        <f>Q93*'Front page'!$E$3</f>
        <v>319877.75598699687</v>
      </c>
      <c r="AL93" s="6">
        <f>S93*'Front page'!$E$3</f>
        <v>83041.11281251839</v>
      </c>
      <c r="AM93" s="5">
        <f>Z93*'Front page'!$E$3</f>
        <v>0</v>
      </c>
      <c r="AN93" s="6">
        <f>T93*'Front page'!$E$3</f>
        <v>9897.1448739817843</v>
      </c>
      <c r="AO93" s="6">
        <f>U93*'Front page'!$E$3</f>
        <v>494857.24369908992</v>
      </c>
      <c r="AP93" s="6">
        <f>W93*'Front page'!$E$3</f>
        <v>445108.54606552387</v>
      </c>
      <c r="AQ93" s="6">
        <f>V93*'Front page'!$E$3</f>
        <v>0</v>
      </c>
      <c r="AR93" s="6">
        <f>X93*'Front page'!$E$3</f>
        <v>0</v>
      </c>
      <c r="AS93" s="6">
        <f t="shared" si="16"/>
        <v>6910393.0142453033</v>
      </c>
      <c r="AT93" s="7">
        <f>IF(AS93&gt;'Funding Comparison'!D93*(1+'Front page'!$H$10),'Funding Comparison'!D93*(1+'Front page'!$H$10),AS93)</f>
        <v>6809155.9842500007</v>
      </c>
    </row>
    <row r="94" spans="1:46">
      <c r="A94" t="str">
        <f t="shared" si="9"/>
        <v>371</v>
      </c>
      <c r="B94">
        <f t="shared" si="11"/>
        <v>371</v>
      </c>
      <c r="C94" s="15" t="s">
        <v>103</v>
      </c>
      <c r="D94">
        <f>IF(settings!$G$4=0,'Student Enrollment Data'!AX95,'Student Enrollment Data'!CK95)</f>
        <v>1483</v>
      </c>
      <c r="E94">
        <f>IF(settings!$G$4=0,'Student Enrollment Data'!AY95,'Student Enrollment Data'!CL95)</f>
        <v>428</v>
      </c>
      <c r="F94">
        <f>IF(settings!$G$4=0,'Student Enrollment Data'!AZ95,'Student Enrollment Data'!CM95)</f>
        <v>454</v>
      </c>
      <c r="G94" s="25">
        <f>'Student Enrollment Data'!BK95</f>
        <v>179</v>
      </c>
      <c r="H94">
        <f>'Student Enrollment Data'!BF95</f>
        <v>663.44</v>
      </c>
      <c r="I94">
        <f>SUM('Student Enrollment Data'!R95:X95,'Student Enrollment Data'!AQ95:AW95)</f>
        <v>35.676862745098092</v>
      </c>
      <c r="J94">
        <f>'Student Enrollment Data'!BS95</f>
        <v>230</v>
      </c>
      <c r="K94">
        <f t="shared" si="12"/>
        <v>148.30000000000001</v>
      </c>
      <c r="M94" s="30">
        <f t="shared" si="10"/>
        <v>1483</v>
      </c>
      <c r="N94" s="30">
        <f>E94*'Front page'!$B$20</f>
        <v>42.800000000000004</v>
      </c>
      <c r="O94" s="30">
        <f>F94*'Front page'!$B$21</f>
        <v>45.400000000000006</v>
      </c>
      <c r="P94">
        <f>G94*'Front page'!$B$18</f>
        <v>116.35000000000001</v>
      </c>
      <c r="Q94" s="30">
        <f>IF(settings!$B$4=0,Calculations!H94,Calculations!I94) *'Front page'!$B$11</f>
        <v>66.344000000000008</v>
      </c>
      <c r="R94" s="31">
        <f>ROUND(I94*'Front page'!$B$9,2)</f>
        <v>0</v>
      </c>
      <c r="S94" s="30">
        <f>J94*'Front page'!$B$14</f>
        <v>23</v>
      </c>
      <c r="T94" s="103">
        <f>'Front page'!$B$16*Calculations!K94</f>
        <v>2.9660000000000002</v>
      </c>
      <c r="U94" s="103">
        <f>IF(settings!$B$13=0,(Calculations!M94*'District Wealth Adjustment'!M93)-Calculations!M94,0)</f>
        <v>148.30000000000018</v>
      </c>
      <c r="V94" s="185">
        <f>VLOOKUP(B94,'Remote School Building Weight'!$M$2:$P$174,3,FALSE)</f>
        <v>0</v>
      </c>
      <c r="W94" s="25">
        <f>'Small Dist Weight'!V93-Calculations!D94</f>
        <v>75.255431034482854</v>
      </c>
      <c r="X94" s="25">
        <f>IF(settings!$P$9=0,'Large District Weight'!H93*'Large District Weight'!G93,0)</f>
        <v>0</v>
      </c>
      <c r="Y94" s="25">
        <f t="shared" si="13"/>
        <v>2003.4154310344829</v>
      </c>
      <c r="Z94" s="25">
        <f>IF(settings!$F$13=0,'Teacher Exp'!L94,0)</f>
        <v>0</v>
      </c>
      <c r="AA94" s="25">
        <f t="shared" si="14"/>
        <v>2003.4154310344829</v>
      </c>
      <c r="AC94" s="26">
        <f>'Student Enrollment Data'!BU95</f>
        <v>232</v>
      </c>
      <c r="AD94" s="26">
        <f t="shared" si="15"/>
        <v>148.30000000000001</v>
      </c>
      <c r="AE94" s="26">
        <f>AD94*'Front page'!$B$16</f>
        <v>2.9660000000000002</v>
      </c>
      <c r="AG94" s="6">
        <f>M94*'Front page'!$E$3</f>
        <v>6283161.7500492223</v>
      </c>
      <c r="AH94" s="6">
        <f>N94*'Front page'!$E$3</f>
        <v>181334.67491713201</v>
      </c>
      <c r="AI94" s="6">
        <f>O94*'Front page'!$E$3</f>
        <v>192350.33273920076</v>
      </c>
      <c r="AJ94" s="6">
        <f>P94*'Front page'!$E$3</f>
        <v>492950.68753757729</v>
      </c>
      <c r="AK94" s="6">
        <f>Q94*'Front page'!$E$3</f>
        <v>281085.6932874347</v>
      </c>
      <c r="AL94" s="6">
        <f>S94*'Front page'!$E$3</f>
        <v>97446.203810608306</v>
      </c>
      <c r="AM94" s="5">
        <f>Z94*'Front page'!$E$3</f>
        <v>0</v>
      </c>
      <c r="AN94" s="6">
        <f>T94*'Front page'!$E$3</f>
        <v>12566.323500098446</v>
      </c>
      <c r="AO94" s="6">
        <f>U94*'Front page'!$E$3</f>
        <v>628316.17500492302</v>
      </c>
      <c r="AP94" s="6">
        <f>W94*'Front page'!$E$3</f>
        <v>318841.5682800606</v>
      </c>
      <c r="AQ94" s="6">
        <f>V94*'Front page'!$E$3</f>
        <v>0</v>
      </c>
      <c r="AR94" s="6">
        <f>X94*'Front page'!$E$3</f>
        <v>0</v>
      </c>
      <c r="AS94" s="6">
        <f t="shared" si="16"/>
        <v>8488053.4091262557</v>
      </c>
      <c r="AT94" s="7">
        <f>IF(AS94&gt;'Funding Comparison'!D94*(1+'Front page'!$H$10),'Funding Comparison'!D94*(1+'Front page'!$H$10),AS94)</f>
        <v>8441253.7932499982</v>
      </c>
    </row>
    <row r="95" spans="1:46">
      <c r="A95" t="str">
        <f t="shared" si="9"/>
        <v>372</v>
      </c>
      <c r="B95">
        <f t="shared" si="11"/>
        <v>372</v>
      </c>
      <c r="C95" s="15" t="s">
        <v>104</v>
      </c>
      <c r="D95">
        <f>IF(settings!$G$4=0,'Student Enrollment Data'!AX96,'Student Enrollment Data'!CK96)</f>
        <v>947.5</v>
      </c>
      <c r="E95">
        <f>IF(settings!$G$4=0,'Student Enrollment Data'!AY96,'Student Enrollment Data'!CL96)</f>
        <v>248.5</v>
      </c>
      <c r="F95">
        <f>IF(settings!$G$4=0,'Student Enrollment Data'!AZ96,'Student Enrollment Data'!CM96)</f>
        <v>310</v>
      </c>
      <c r="G95" s="25">
        <f>'Student Enrollment Data'!BK96</f>
        <v>85</v>
      </c>
      <c r="H95">
        <f>'Student Enrollment Data'!BF96</f>
        <v>448</v>
      </c>
      <c r="I95">
        <f>SUM('Student Enrollment Data'!R96:X96,'Student Enrollment Data'!AQ96:AW96)</f>
        <v>29.396078431372537</v>
      </c>
      <c r="J95">
        <f>'Student Enrollment Data'!BS96</f>
        <v>63</v>
      </c>
      <c r="K95">
        <f t="shared" si="12"/>
        <v>94.75</v>
      </c>
      <c r="M95" s="30">
        <f t="shared" si="10"/>
        <v>947.5</v>
      </c>
      <c r="N95" s="30">
        <f>E95*'Front page'!$B$20</f>
        <v>24.85</v>
      </c>
      <c r="O95" s="30">
        <f>F95*'Front page'!$B$21</f>
        <v>31</v>
      </c>
      <c r="P95">
        <f>G95*'Front page'!$B$18</f>
        <v>55.25</v>
      </c>
      <c r="Q95" s="30">
        <f>IF(settings!$B$4=0,Calculations!H95,Calculations!I95) *'Front page'!$B$11</f>
        <v>44.800000000000004</v>
      </c>
      <c r="R95" s="31">
        <f>ROUND(I95*'Front page'!$B$9,2)</f>
        <v>0</v>
      </c>
      <c r="S95" s="30">
        <f>J95*'Front page'!$B$14</f>
        <v>6.3000000000000007</v>
      </c>
      <c r="T95" s="103">
        <f>'Front page'!$B$16*Calculations!K95</f>
        <v>1.895</v>
      </c>
      <c r="U95" s="103">
        <f>IF(settings!$B$13=0,(Calculations!M95*'District Wealth Adjustment'!M94)-Calculations!M95,0)</f>
        <v>94.75</v>
      </c>
      <c r="V95" s="185">
        <f>VLOOKUP(B95,'Remote School Building Weight'!$M$2:$P$174,3,FALSE)</f>
        <v>0</v>
      </c>
      <c r="W95" s="25">
        <f>'Small Dist Weight'!V94-Calculations!D95</f>
        <v>113.12301724137933</v>
      </c>
      <c r="X95" s="25">
        <f>IF(settings!$P$9=0,'Large District Weight'!H94*'Large District Weight'!G94,0)</f>
        <v>0</v>
      </c>
      <c r="Y95" s="25">
        <f t="shared" si="13"/>
        <v>1319.4680172413791</v>
      </c>
      <c r="Z95" s="25">
        <f>IF(settings!$F$13=0,'Teacher Exp'!L95,0)</f>
        <v>20.464266492239961</v>
      </c>
      <c r="AA95" s="25">
        <f t="shared" si="14"/>
        <v>1339.932283733619</v>
      </c>
      <c r="AC95" s="26">
        <f>'Student Enrollment Data'!BU96</f>
        <v>0</v>
      </c>
      <c r="AD95" s="26">
        <f t="shared" si="15"/>
        <v>94.75</v>
      </c>
      <c r="AE95" s="26">
        <f>AD95*'Front page'!$B$16</f>
        <v>1.895</v>
      </c>
      <c r="AG95" s="6">
        <f>M95*'Front page'!$E$3</f>
        <v>4014359.9178500599</v>
      </c>
      <c r="AH95" s="6">
        <f>N95*'Front page'!$E$3</f>
        <v>105284.26803015724</v>
      </c>
      <c r="AI95" s="6">
        <f>O95*'Front page'!$E$3</f>
        <v>131340.53557081989</v>
      </c>
      <c r="AJ95" s="6">
        <f>P95*'Front page'!$E$3</f>
        <v>234082.72871896127</v>
      </c>
      <c r="AK95" s="6">
        <f>Q95*'Front page'!$E$3</f>
        <v>189808.25785718489</v>
      </c>
      <c r="AL95" s="6">
        <f>S95*'Front page'!$E$3</f>
        <v>26691.786261166628</v>
      </c>
      <c r="AM95" s="5">
        <f>Z95*'Front page'!$E$3</f>
        <v>86702.829714670326</v>
      </c>
      <c r="AN95" s="6">
        <f>T95*'Front page'!$E$3</f>
        <v>8028.7198357001198</v>
      </c>
      <c r="AO95" s="6">
        <f>U95*'Front page'!$E$3</f>
        <v>401435.99178500596</v>
      </c>
      <c r="AP95" s="6">
        <f>W95*'Front page'!$E$3</f>
        <v>479278.63451193075</v>
      </c>
      <c r="AQ95" s="6">
        <f>V95*'Front page'!$E$3</f>
        <v>0</v>
      </c>
      <c r="AR95" s="6">
        <f>X95*'Front page'!$E$3</f>
        <v>0</v>
      </c>
      <c r="AS95" s="6">
        <f t="shared" si="16"/>
        <v>5677013.6701356582</v>
      </c>
      <c r="AT95" s="7">
        <f>IF(AS95&gt;'Funding Comparison'!D95*(1+'Front page'!$H$10),'Funding Comparison'!D95*(1+'Front page'!$H$10),AS95)</f>
        <v>5677013.6701356582</v>
      </c>
    </row>
    <row r="96" spans="1:46">
      <c r="A96" t="str">
        <f t="shared" si="9"/>
        <v>373</v>
      </c>
      <c r="B96">
        <f t="shared" si="11"/>
        <v>373</v>
      </c>
      <c r="C96" s="15" t="s">
        <v>105</v>
      </c>
      <c r="D96">
        <f>IF(settings!$G$4=0,'Student Enrollment Data'!AX97,'Student Enrollment Data'!CK97)</f>
        <v>1694.5</v>
      </c>
      <c r="E96">
        <f>IF(settings!$G$4=0,'Student Enrollment Data'!AY97,'Student Enrollment Data'!CL97)</f>
        <v>452.5</v>
      </c>
      <c r="F96">
        <f>IF(settings!$G$4=0,'Student Enrollment Data'!AZ97,'Student Enrollment Data'!CM97)</f>
        <v>541</v>
      </c>
      <c r="G96" s="25">
        <f>'Student Enrollment Data'!BK97</f>
        <v>203</v>
      </c>
      <c r="H96">
        <f>'Student Enrollment Data'!BF97</f>
        <v>768</v>
      </c>
      <c r="I96">
        <f>SUM('Student Enrollment Data'!R97:X97,'Student Enrollment Data'!AQ97:AW97)</f>
        <v>32.452138106442568</v>
      </c>
      <c r="J96">
        <f>'Student Enrollment Data'!BS97</f>
        <v>153</v>
      </c>
      <c r="K96">
        <f t="shared" si="12"/>
        <v>169.45000000000002</v>
      </c>
      <c r="M96" s="30">
        <f t="shared" si="10"/>
        <v>1694.5</v>
      </c>
      <c r="N96" s="30">
        <f>E96*'Front page'!$B$20</f>
        <v>45.25</v>
      </c>
      <c r="O96" s="30">
        <f>F96*'Front page'!$B$21</f>
        <v>54.1</v>
      </c>
      <c r="P96">
        <f>G96*'Front page'!$B$18</f>
        <v>131.95000000000002</v>
      </c>
      <c r="Q96" s="30">
        <f>IF(settings!$B$4=0,Calculations!H96,Calculations!I96) *'Front page'!$B$11</f>
        <v>76.800000000000011</v>
      </c>
      <c r="R96" s="31">
        <f>ROUND(I96*'Front page'!$B$9,2)</f>
        <v>0</v>
      </c>
      <c r="S96" s="30">
        <f>J96*'Front page'!$B$14</f>
        <v>15.3</v>
      </c>
      <c r="T96" s="103">
        <f>'Front page'!$B$16*Calculations!K96</f>
        <v>3.3890000000000002</v>
      </c>
      <c r="U96" s="103">
        <f>IF(settings!$B$13=0,(Calculations!M96*'District Wealth Adjustment'!M95)-Calculations!M96,0)</f>
        <v>169.45000000000005</v>
      </c>
      <c r="V96" s="185">
        <f>VLOOKUP(B96,'Remote School Building Weight'!$M$2:$P$174,3,FALSE)</f>
        <v>0</v>
      </c>
      <c r="W96" s="25">
        <f>'Small Dist Weight'!V95-Calculations!D96</f>
        <v>22.40301724137953</v>
      </c>
      <c r="X96" s="25">
        <f>IF(settings!$P$9=0,'Large District Weight'!H95*'Large District Weight'!G95,0)</f>
        <v>0</v>
      </c>
      <c r="Y96" s="25">
        <f t="shared" si="13"/>
        <v>2213.1420172413791</v>
      </c>
      <c r="Z96" s="25">
        <f>IF(settings!$F$13=0,'Teacher Exp'!L96,0)</f>
        <v>11.644771451566598</v>
      </c>
      <c r="AA96" s="25">
        <f t="shared" si="14"/>
        <v>2224.7867886929457</v>
      </c>
      <c r="AC96" s="26">
        <f>'Student Enrollment Data'!BU97</f>
        <v>112</v>
      </c>
      <c r="AD96" s="26">
        <f t="shared" si="15"/>
        <v>169.45000000000002</v>
      </c>
      <c r="AE96" s="26">
        <f>AD96*'Front page'!$B$16</f>
        <v>3.3890000000000002</v>
      </c>
      <c r="AG96" s="6">
        <f>M96*'Front page'!$E$3</f>
        <v>7179243.1459598169</v>
      </c>
      <c r="AH96" s="6">
        <f>N96*'Front page'!$E$3</f>
        <v>191714.81401869678</v>
      </c>
      <c r="AI96" s="6">
        <f>O96*'Front page'!$E$3</f>
        <v>229210.41852843086</v>
      </c>
      <c r="AJ96" s="6">
        <f>P96*'Front page'!$E$3</f>
        <v>559044.63446998992</v>
      </c>
      <c r="AK96" s="6">
        <f>Q96*'Front page'!$E$3</f>
        <v>325385.58489803126</v>
      </c>
      <c r="AL96" s="6">
        <f>S96*'Front page'!$E$3</f>
        <v>64822.909491404658</v>
      </c>
      <c r="AM96" s="5">
        <f>Z96*'Front page'!$E$3</f>
        <v>49336.468356404861</v>
      </c>
      <c r="AN96" s="6">
        <f>T96*'Front page'!$E$3</f>
        <v>14358.486291919635</v>
      </c>
      <c r="AO96" s="6">
        <f>U96*'Front page'!$E$3</f>
        <v>717924.31459598185</v>
      </c>
      <c r="AP96" s="6">
        <f>W96*'Front page'!$E$3</f>
        <v>94916.91235113224</v>
      </c>
      <c r="AQ96" s="6">
        <f>V96*'Front page'!$E$3</f>
        <v>0</v>
      </c>
      <c r="AR96" s="6">
        <f>X96*'Front page'!$E$3</f>
        <v>0</v>
      </c>
      <c r="AS96" s="6">
        <f t="shared" si="16"/>
        <v>9425957.6889618076</v>
      </c>
      <c r="AT96" s="7">
        <f>IF(AS96&gt;'Funding Comparison'!D96*(1+'Front page'!$H$10),'Funding Comparison'!D96*(1+'Front page'!$H$10),AS96)</f>
        <v>9425957.6889618076</v>
      </c>
    </row>
    <row r="97" spans="1:46">
      <c r="A97" t="str">
        <f t="shared" si="9"/>
        <v>381</v>
      </c>
      <c r="B97">
        <f t="shared" si="11"/>
        <v>381</v>
      </c>
      <c r="C97" s="15" t="s">
        <v>106</v>
      </c>
      <c r="D97">
        <f>IF(settings!$G$4=0,'Student Enrollment Data'!AX98,'Student Enrollment Data'!CK98)</f>
        <v>1404</v>
      </c>
      <c r="E97">
        <f>IF(settings!$G$4=0,'Student Enrollment Data'!AY98,'Student Enrollment Data'!CL98)</f>
        <v>388</v>
      </c>
      <c r="F97">
        <f>IF(settings!$G$4=0,'Student Enrollment Data'!AZ98,'Student Enrollment Data'!CM98)</f>
        <v>423</v>
      </c>
      <c r="G97" s="25">
        <f>'Student Enrollment Data'!BK98</f>
        <v>122</v>
      </c>
      <c r="H97">
        <f>'Student Enrollment Data'!BF98</f>
        <v>900</v>
      </c>
      <c r="I97">
        <f>SUM('Student Enrollment Data'!R98:X98,'Student Enrollment Data'!AQ98:AW98)</f>
        <v>42.045212033733677</v>
      </c>
      <c r="J97">
        <f>'Student Enrollment Data'!BS98</f>
        <v>474</v>
      </c>
      <c r="K97">
        <f t="shared" si="12"/>
        <v>140.4</v>
      </c>
      <c r="M97" s="30">
        <f t="shared" si="10"/>
        <v>1404</v>
      </c>
      <c r="N97" s="30">
        <f>E97*'Front page'!$B$20</f>
        <v>38.800000000000004</v>
      </c>
      <c r="O97" s="30">
        <f>F97*'Front page'!$B$21</f>
        <v>42.300000000000004</v>
      </c>
      <c r="P97">
        <f>G97*'Front page'!$B$18</f>
        <v>79.3</v>
      </c>
      <c r="Q97" s="30">
        <f>IF(settings!$B$4=0,Calculations!H97,Calculations!I97) *'Front page'!$B$11</f>
        <v>90</v>
      </c>
      <c r="R97" s="31">
        <f>ROUND(I97*'Front page'!$B$9,2)</f>
        <v>0</v>
      </c>
      <c r="S97" s="30">
        <f>J97*'Front page'!$B$14</f>
        <v>47.400000000000006</v>
      </c>
      <c r="T97" s="103">
        <f>'Front page'!$B$16*Calculations!K97</f>
        <v>2.8080000000000003</v>
      </c>
      <c r="U97" s="103">
        <f>IF(settings!$B$13=0,(Calculations!M97*'District Wealth Adjustment'!M96)-Calculations!M97,0)</f>
        <v>0</v>
      </c>
      <c r="V97" s="185">
        <f>VLOOKUP(B97,'Remote School Building Weight'!$M$2:$P$174,3,FALSE)</f>
        <v>0</v>
      </c>
      <c r="W97" s="25">
        <f>'Small Dist Weight'!V96-Calculations!D97</f>
        <v>80.005775862069186</v>
      </c>
      <c r="X97" s="25">
        <f>IF(settings!$P$9=0,'Large District Weight'!H96*'Large District Weight'!G96,0)</f>
        <v>0</v>
      </c>
      <c r="Y97" s="25">
        <f t="shared" si="13"/>
        <v>1784.6137758620691</v>
      </c>
      <c r="Z97" s="25">
        <f>IF(settings!$F$13=0,'Teacher Exp'!L97,0)</f>
        <v>2.1581225494960155</v>
      </c>
      <c r="AA97" s="25">
        <f t="shared" si="14"/>
        <v>1786.7718984115652</v>
      </c>
      <c r="AC97" s="26">
        <f>'Student Enrollment Data'!BU98</f>
        <v>8</v>
      </c>
      <c r="AD97" s="26">
        <f t="shared" si="15"/>
        <v>140.4</v>
      </c>
      <c r="AE97" s="26">
        <f>AD97*'Front page'!$B$16</f>
        <v>2.8080000000000003</v>
      </c>
      <c r="AG97" s="6">
        <f>M97*'Front page'!$E$3</f>
        <v>5948455.2239171332</v>
      </c>
      <c r="AH97" s="6">
        <f>N97*'Front page'!$E$3</f>
        <v>164387.5090370262</v>
      </c>
      <c r="AI97" s="6">
        <f>O97*'Front page'!$E$3</f>
        <v>179216.27918211877</v>
      </c>
      <c r="AJ97" s="6">
        <f>P97*'Front page'!$E$3</f>
        <v>335977.56357309734</v>
      </c>
      <c r="AK97" s="6">
        <f>Q97*'Front page'!$E$3</f>
        <v>381311.23230238032</v>
      </c>
      <c r="AL97" s="6">
        <f>S97*'Front page'!$E$3</f>
        <v>200823.91567925367</v>
      </c>
      <c r="AM97" s="5">
        <f>Z97*'Front page'!$E$3</f>
        <v>9143.5152089764488</v>
      </c>
      <c r="AN97" s="6">
        <f>T97*'Front page'!$E$3</f>
        <v>11896.910447834267</v>
      </c>
      <c r="AO97" s="6">
        <f>U97*'Front page'!$E$3</f>
        <v>0</v>
      </c>
      <c r="AP97" s="6">
        <f>W97*'Front page'!$E$3</f>
        <v>338967.78872526262</v>
      </c>
      <c r="AQ97" s="6">
        <f>V97*'Front page'!$E$3</f>
        <v>0</v>
      </c>
      <c r="AR97" s="6">
        <f>X97*'Front page'!$E$3</f>
        <v>0</v>
      </c>
      <c r="AS97" s="6">
        <f t="shared" si="16"/>
        <v>7570179.9380730819</v>
      </c>
      <c r="AT97" s="7">
        <f>IF(AS97&gt;'Funding Comparison'!D97*(1+'Front page'!$H$10),'Funding Comparison'!D97*(1+'Front page'!$H$10),AS97)</f>
        <v>7570179.9380730819</v>
      </c>
    </row>
    <row r="98" spans="1:46">
      <c r="A98" t="str">
        <f t="shared" si="9"/>
        <v>382</v>
      </c>
      <c r="B98">
        <f t="shared" si="11"/>
        <v>382</v>
      </c>
      <c r="C98" s="15" t="s">
        <v>107</v>
      </c>
      <c r="D98">
        <f>IF(settings!$G$4=0,'Student Enrollment Data'!AX99,'Student Enrollment Data'!CK99)</f>
        <v>175</v>
      </c>
      <c r="E98">
        <f>IF(settings!$G$4=0,'Student Enrollment Data'!AY99,'Student Enrollment Data'!CL99)</f>
        <v>37</v>
      </c>
      <c r="F98">
        <f>IF(settings!$G$4=0,'Student Enrollment Data'!AZ99,'Student Enrollment Data'!CM99)</f>
        <v>67</v>
      </c>
      <c r="G98" s="25">
        <f>'Student Enrollment Data'!BK99</f>
        <v>11</v>
      </c>
      <c r="H98">
        <f>'Student Enrollment Data'!BF99</f>
        <v>67</v>
      </c>
      <c r="I98">
        <f>SUM('Student Enrollment Data'!R99:X99,'Student Enrollment Data'!AQ99:AW99)</f>
        <v>0</v>
      </c>
      <c r="J98">
        <f>'Student Enrollment Data'!BS99</f>
        <v>0</v>
      </c>
      <c r="K98">
        <f t="shared" si="12"/>
        <v>17.5</v>
      </c>
      <c r="M98" s="30">
        <f t="shared" si="10"/>
        <v>175</v>
      </c>
      <c r="N98" s="30">
        <f>E98*'Front page'!$B$20</f>
        <v>3.7</v>
      </c>
      <c r="O98" s="30">
        <f>F98*'Front page'!$B$21</f>
        <v>6.7</v>
      </c>
      <c r="P98">
        <f>G98*'Front page'!$B$18</f>
        <v>7.15</v>
      </c>
      <c r="Q98" s="30">
        <f>IF(settings!$B$4=0,Calculations!H98,Calculations!I98) *'Front page'!$B$11</f>
        <v>6.7</v>
      </c>
      <c r="R98" s="31">
        <f>ROUND(I98*'Front page'!$B$9,2)</f>
        <v>0</v>
      </c>
      <c r="S98" s="30">
        <f>J98*'Front page'!$B$14</f>
        <v>0</v>
      </c>
      <c r="T98" s="103">
        <f>'Front page'!$B$16*Calculations!K98</f>
        <v>0.35000000000000003</v>
      </c>
      <c r="U98" s="103">
        <f>IF(settings!$B$13=0,(Calculations!M98*'District Wealth Adjustment'!M97)-Calculations!M98,0)</f>
        <v>17.500000000000028</v>
      </c>
      <c r="V98" s="185">
        <f>VLOOKUP(B98,'Remote School Building Weight'!$M$2:$P$174,3,FALSE)</f>
        <v>0</v>
      </c>
      <c r="W98" s="25">
        <f>'Small Dist Weight'!V97-Calculations!D98</f>
        <v>145.3510971786834</v>
      </c>
      <c r="X98" s="25">
        <f>IF(settings!$P$9=0,'Large District Weight'!H97*'Large District Weight'!G97,0)</f>
        <v>0</v>
      </c>
      <c r="Y98" s="25">
        <f t="shared" si="13"/>
        <v>362.45109717868343</v>
      </c>
      <c r="Z98" s="25">
        <f>IF(settings!$F$13=0,'Teacher Exp'!L98,0)</f>
        <v>0</v>
      </c>
      <c r="AA98" s="25">
        <f t="shared" si="14"/>
        <v>362.45109717868343</v>
      </c>
      <c r="AC98" s="26">
        <f>'Student Enrollment Data'!BU99</f>
        <v>0</v>
      </c>
      <c r="AD98" s="26">
        <f t="shared" si="15"/>
        <v>17.5</v>
      </c>
      <c r="AE98" s="26">
        <f>AD98*'Front page'!$B$16</f>
        <v>0.35000000000000003</v>
      </c>
      <c r="AG98" s="6">
        <f>M98*'Front page'!$E$3</f>
        <v>741438.50725462846</v>
      </c>
      <c r="AH98" s="6">
        <f>N98*'Front page'!$E$3</f>
        <v>15676.12843909786</v>
      </c>
      <c r="AI98" s="6">
        <f>O98*'Front page'!$E$3</f>
        <v>28386.502849177203</v>
      </c>
      <c r="AJ98" s="6">
        <f>P98*'Front page'!$E$3</f>
        <v>30293.059010689107</v>
      </c>
      <c r="AK98" s="6">
        <f>Q98*'Front page'!$E$3</f>
        <v>28386.502849177203</v>
      </c>
      <c r="AL98" s="6">
        <f>S98*'Front page'!$E$3</f>
        <v>0</v>
      </c>
      <c r="AM98" s="5">
        <f>Z98*'Front page'!$E$3</f>
        <v>0</v>
      </c>
      <c r="AN98" s="6">
        <f>T98*'Front page'!$E$3</f>
        <v>1482.8770145092569</v>
      </c>
      <c r="AO98" s="6">
        <f>U98*'Front page'!$E$3</f>
        <v>74143.850725462966</v>
      </c>
      <c r="AP98" s="6">
        <f>W98*'Front page'!$E$3</f>
        <v>615822.28868563124</v>
      </c>
      <c r="AQ98" s="6">
        <f>V98*'Front page'!$E$3</f>
        <v>0</v>
      </c>
      <c r="AR98" s="6">
        <f>X98*'Front page'!$E$3</f>
        <v>0</v>
      </c>
      <c r="AS98" s="6">
        <f t="shared" si="16"/>
        <v>1535629.7168283735</v>
      </c>
      <c r="AT98" s="7">
        <f>IF(AS98&gt;'Funding Comparison'!D98*(1+'Front page'!$H$10),'Funding Comparison'!D98*(1+'Front page'!$H$10),AS98)</f>
        <v>1535629.7168283735</v>
      </c>
    </row>
    <row r="99" spans="1:46">
      <c r="A99" t="str">
        <f t="shared" si="9"/>
        <v>383</v>
      </c>
      <c r="B99">
        <f t="shared" si="11"/>
        <v>383</v>
      </c>
      <c r="C99" s="15" t="s">
        <v>108</v>
      </c>
      <c r="D99">
        <f>IF(settings!$G$4=0,'Student Enrollment Data'!AX100,'Student Enrollment Data'!CK100)</f>
        <v>15.5</v>
      </c>
      <c r="E99">
        <f>IF(settings!$G$4=0,'Student Enrollment Data'!AY100,'Student Enrollment Data'!CL100)</f>
        <v>9.5</v>
      </c>
      <c r="F99">
        <f>IF(settings!$G$4=0,'Student Enrollment Data'!AZ100,'Student Enrollment Data'!CM100)</f>
        <v>0</v>
      </c>
      <c r="G99" s="25">
        <f>'Student Enrollment Data'!BK100</f>
        <v>1.8395985049116899</v>
      </c>
      <c r="H99">
        <f>'Student Enrollment Data'!BF100</f>
        <v>6.88</v>
      </c>
      <c r="I99">
        <f>SUM('Student Enrollment Data'!R100:X100,'Student Enrollment Data'!AQ100:AW100)</f>
        <v>0</v>
      </c>
      <c r="J99">
        <f>'Student Enrollment Data'!BS100</f>
        <v>0</v>
      </c>
      <c r="K99">
        <f t="shared" si="12"/>
        <v>3</v>
      </c>
      <c r="M99" s="30">
        <f t="shared" ref="M99:M130" si="17">MAX(D99,30)</f>
        <v>30</v>
      </c>
      <c r="N99" s="30">
        <f>E99*'Front page'!$B$20</f>
        <v>0.95000000000000007</v>
      </c>
      <c r="O99" s="30">
        <f>F99*'Front page'!$B$21</f>
        <v>0</v>
      </c>
      <c r="P99">
        <f>G99*'Front page'!$B$18</f>
        <v>1.1957390281925984</v>
      </c>
      <c r="Q99" s="30">
        <f>IF(settings!$B$4=0,Calculations!H99,Calculations!I99) *'Front page'!$B$11</f>
        <v>0.68800000000000006</v>
      </c>
      <c r="R99" s="31">
        <f>ROUND(I99*'Front page'!$B$9,2)</f>
        <v>0</v>
      </c>
      <c r="S99" s="30">
        <f>J99*'Front page'!$B$14</f>
        <v>0</v>
      </c>
      <c r="T99" s="103">
        <f>'Front page'!$B$16*Calculations!K99</f>
        <v>0.06</v>
      </c>
      <c r="U99" s="103">
        <f>IF(settings!$B$13=0,(Calculations!M99*'District Wealth Adjustment'!M98)-Calculations!M99,0)</f>
        <v>0</v>
      </c>
      <c r="V99" s="185">
        <f>VLOOKUP(B99,'Remote School Building Weight'!$M$2:$P$174,3,FALSE)</f>
        <v>0</v>
      </c>
      <c r="W99" s="25">
        <f>'Small Dist Weight'!V98-Calculations!D99</f>
        <v>16.274999999999999</v>
      </c>
      <c r="X99" s="25">
        <f>IF(settings!$P$9=0,'Large District Weight'!H98*'Large District Weight'!G98,0)</f>
        <v>0</v>
      </c>
      <c r="Y99" s="25">
        <f t="shared" si="13"/>
        <v>49.168739028192604</v>
      </c>
      <c r="Z99" s="25">
        <f>IF(settings!$F$13=0,'Teacher Exp'!L99,0)</f>
        <v>2.4584369514096305</v>
      </c>
      <c r="AA99" s="25">
        <f t="shared" si="14"/>
        <v>51.627175979602235</v>
      </c>
      <c r="AC99" s="26">
        <f>'Student Enrollment Data'!BU100</f>
        <v>0</v>
      </c>
      <c r="AD99" s="26">
        <f t="shared" si="15"/>
        <v>3</v>
      </c>
      <c r="AE99" s="26">
        <f>AD99*'Front page'!$B$16</f>
        <v>0.06</v>
      </c>
      <c r="AG99" s="6">
        <f>M99*'Front page'!$E$3</f>
        <v>127103.74410079344</v>
      </c>
      <c r="AH99" s="6">
        <f>N99*'Front page'!$E$3</f>
        <v>4024.9518965251259</v>
      </c>
      <c r="AI99" s="6">
        <f>O99*'Front page'!$E$3</f>
        <v>0</v>
      </c>
      <c r="AJ99" s="6">
        <f>P99*'Front page'!$E$3</f>
        <v>5066.0969150241153</v>
      </c>
      <c r="AK99" s="6">
        <f>Q99*'Front page'!$E$3</f>
        <v>2914.9125313781965</v>
      </c>
      <c r="AL99" s="6">
        <f>S99*'Front page'!$E$3</f>
        <v>0</v>
      </c>
      <c r="AM99" s="5">
        <f>Z99*'Front page'!$E$3</f>
        <v>10415.884705330149</v>
      </c>
      <c r="AN99" s="6">
        <f>T99*'Front page'!$E$3</f>
        <v>254.2074882015869</v>
      </c>
      <c r="AO99" s="6">
        <f>U99*'Front page'!$E$3</f>
        <v>0</v>
      </c>
      <c r="AP99" s="6">
        <f>W99*'Front page'!$E$3</f>
        <v>68953.781174680436</v>
      </c>
      <c r="AQ99" s="6">
        <f>V99*'Front page'!$E$3</f>
        <v>0</v>
      </c>
      <c r="AR99" s="6">
        <f>X99*'Front page'!$E$3</f>
        <v>0</v>
      </c>
      <c r="AS99" s="6">
        <f t="shared" si="16"/>
        <v>218733.57881193305</v>
      </c>
      <c r="AT99" s="7">
        <f>IF(AS99&gt;'Funding Comparison'!D99*(1+'Front page'!$H$10),'Funding Comparison'!D99*(1+'Front page'!$H$10),AS99)</f>
        <v>218733.57881193305</v>
      </c>
    </row>
    <row r="100" spans="1:46">
      <c r="A100" t="str">
        <f t="shared" si="9"/>
        <v>391</v>
      </c>
      <c r="B100">
        <f t="shared" si="11"/>
        <v>391</v>
      </c>
      <c r="C100" s="15" t="s">
        <v>109</v>
      </c>
      <c r="D100">
        <f>IF(settings!$G$4=0,'Student Enrollment Data'!AX101,'Student Enrollment Data'!CK101)</f>
        <v>1048</v>
      </c>
      <c r="E100">
        <f>IF(settings!$G$4=0,'Student Enrollment Data'!AY101,'Student Enrollment Data'!CL101)</f>
        <v>294</v>
      </c>
      <c r="F100">
        <f>IF(settings!$G$4=0,'Student Enrollment Data'!AZ101,'Student Enrollment Data'!CM101)</f>
        <v>310</v>
      </c>
      <c r="G100" s="25">
        <f>'Student Enrollment Data'!BK101</f>
        <v>209</v>
      </c>
      <c r="H100">
        <f>'Student Enrollment Data'!BF101</f>
        <v>515</v>
      </c>
      <c r="I100">
        <f>SUM('Student Enrollment Data'!R101:X101,'Student Enrollment Data'!AQ101:AW101)</f>
        <v>4.9254901960784325</v>
      </c>
      <c r="J100">
        <f>'Student Enrollment Data'!BS101</f>
        <v>5</v>
      </c>
      <c r="K100">
        <f t="shared" si="12"/>
        <v>104.80000000000001</v>
      </c>
      <c r="M100" s="30">
        <f t="shared" si="17"/>
        <v>1048</v>
      </c>
      <c r="N100" s="30">
        <f>E100*'Front page'!$B$20</f>
        <v>29.400000000000002</v>
      </c>
      <c r="O100" s="30">
        <f>F100*'Front page'!$B$21</f>
        <v>31</v>
      </c>
      <c r="P100">
        <f>G100*'Front page'!$B$18</f>
        <v>135.85</v>
      </c>
      <c r="Q100" s="30">
        <f>IF(settings!$B$4=0,Calculations!H100,Calculations!I100) *'Front page'!$B$11</f>
        <v>51.5</v>
      </c>
      <c r="R100" s="31">
        <f>ROUND(I100*'Front page'!$B$9,2)</f>
        <v>0</v>
      </c>
      <c r="S100" s="30">
        <f>J100*'Front page'!$B$14</f>
        <v>0.5</v>
      </c>
      <c r="T100" s="103">
        <f>'Front page'!$B$16*Calculations!K100</f>
        <v>2.0960000000000001</v>
      </c>
      <c r="U100" s="103">
        <f>IF(settings!$B$13=0,(Calculations!M100*'District Wealth Adjustment'!M99)-Calculations!M100,0)</f>
        <v>44.542822327781323</v>
      </c>
      <c r="V100" s="185">
        <f>VLOOKUP(B100,'Remote School Building Weight'!$M$2:$P$174,3,FALSE)</f>
        <v>47.444020128265137</v>
      </c>
      <c r="W100" s="25">
        <f>'Small Dist Weight'!V99-Calculations!D100</f>
        <v>112.36206896551721</v>
      </c>
      <c r="X100" s="25">
        <f>IF(settings!$P$9=0,'Large District Weight'!H99*'Large District Weight'!G99,0)</f>
        <v>0</v>
      </c>
      <c r="Y100" s="25">
        <f t="shared" si="13"/>
        <v>1502.6949114215636</v>
      </c>
      <c r="Z100" s="25">
        <f>IF(settings!$F$13=0,'Teacher Exp'!L100,0)</f>
        <v>0</v>
      </c>
      <c r="AA100" s="25">
        <f t="shared" si="14"/>
        <v>1502.6949114215636</v>
      </c>
      <c r="AC100" s="26">
        <f>'Student Enrollment Data'!BU101</f>
        <v>15</v>
      </c>
      <c r="AD100" s="26">
        <f t="shared" si="15"/>
        <v>104.80000000000001</v>
      </c>
      <c r="AE100" s="26">
        <f>AD100*'Front page'!$B$16</f>
        <v>2.0960000000000001</v>
      </c>
      <c r="AG100" s="6">
        <f>M100*'Front page'!$E$3</f>
        <v>4440157.4605877176</v>
      </c>
      <c r="AH100" s="6">
        <f>N100*'Front page'!$E$3</f>
        <v>124561.66921877759</v>
      </c>
      <c r="AI100" s="6">
        <f>O100*'Front page'!$E$3</f>
        <v>131340.53557081989</v>
      </c>
      <c r="AJ100" s="6">
        <f>P100*'Front page'!$E$3</f>
        <v>575568.12120309297</v>
      </c>
      <c r="AK100" s="6">
        <f>Q100*'Front page'!$E$3</f>
        <v>218194.76070636208</v>
      </c>
      <c r="AL100" s="6">
        <f>S100*'Front page'!$E$3</f>
        <v>2118.3957350132241</v>
      </c>
      <c r="AM100" s="5">
        <f>Z100*'Front page'!$E$3</f>
        <v>0</v>
      </c>
      <c r="AN100" s="6">
        <f>T100*'Front page'!$E$3</f>
        <v>8880.3149211754353</v>
      </c>
      <c r="AO100" s="6">
        <f>U100*'Front page'!$E$3</f>
        <v>188718.64968924754</v>
      </c>
      <c r="AP100" s="6">
        <f>W100*'Front page'!$E$3</f>
        <v>476054.65534762683</v>
      </c>
      <c r="AQ100" s="6">
        <f>V100*'Front page'!$E$3</f>
        <v>201010.41978319685</v>
      </c>
      <c r="AR100" s="6">
        <f>X100*'Front page'!$E$3</f>
        <v>0</v>
      </c>
      <c r="AS100" s="6">
        <f t="shared" si="16"/>
        <v>6366604.9827630296</v>
      </c>
      <c r="AT100" s="7">
        <f>IF(AS100&gt;'Funding Comparison'!D100*(1+'Front page'!$H$10),'Funding Comparison'!D100*(1+'Front page'!$H$10),AS100)</f>
        <v>6258489.0402499996</v>
      </c>
    </row>
    <row r="101" spans="1:46">
      <c r="A101" t="str">
        <f t="shared" si="9"/>
        <v>392</v>
      </c>
      <c r="B101">
        <f t="shared" si="11"/>
        <v>392</v>
      </c>
      <c r="C101" s="15" t="s">
        <v>110</v>
      </c>
      <c r="D101">
        <f>IF(settings!$G$4=0,'Student Enrollment Data'!AX102,'Student Enrollment Data'!CK102)</f>
        <v>93</v>
      </c>
      <c r="E101">
        <f>IF(settings!$G$4=0,'Student Enrollment Data'!AY102,'Student Enrollment Data'!CL102)</f>
        <v>27</v>
      </c>
      <c r="F101">
        <f>IF(settings!$G$4=0,'Student Enrollment Data'!AZ102,'Student Enrollment Data'!CM102)</f>
        <v>25</v>
      </c>
      <c r="G101" s="25">
        <f>'Student Enrollment Data'!BK102</f>
        <v>19</v>
      </c>
      <c r="H101">
        <f>'Student Enrollment Data'!BF102</f>
        <v>41.28</v>
      </c>
      <c r="I101">
        <f>SUM('Student Enrollment Data'!R102:X102,'Student Enrollment Data'!AQ102:AW102)</f>
        <v>0</v>
      </c>
      <c r="J101">
        <f>'Student Enrollment Data'!BS102</f>
        <v>0</v>
      </c>
      <c r="K101">
        <f t="shared" si="12"/>
        <v>9.3000000000000007</v>
      </c>
      <c r="M101" s="30">
        <f t="shared" si="17"/>
        <v>93</v>
      </c>
      <c r="N101" s="30">
        <f>E101*'Front page'!$B$20</f>
        <v>2.7</v>
      </c>
      <c r="O101" s="30">
        <f>F101*'Front page'!$B$21</f>
        <v>2.5</v>
      </c>
      <c r="P101">
        <f>G101*'Front page'!$B$18</f>
        <v>12.35</v>
      </c>
      <c r="Q101" s="30">
        <f>IF(settings!$B$4=0,Calculations!H101,Calculations!I101) *'Front page'!$B$11</f>
        <v>4.1280000000000001</v>
      </c>
      <c r="R101" s="31">
        <f>ROUND(I101*'Front page'!$B$9,2)</f>
        <v>0</v>
      </c>
      <c r="S101" s="30">
        <f>J101*'Front page'!$B$14</f>
        <v>0</v>
      </c>
      <c r="T101" s="103">
        <f>'Front page'!$B$16*Calculations!K101</f>
        <v>0.18600000000000003</v>
      </c>
      <c r="U101" s="103">
        <f>IF(settings!$B$13=0,(Calculations!M101*'District Wealth Adjustment'!M100)-Calculations!M101,0)</f>
        <v>0</v>
      </c>
      <c r="V101" s="185">
        <f>VLOOKUP(B101,'Remote School Building Weight'!$M$2:$P$174,3,FALSE)</f>
        <v>0</v>
      </c>
      <c r="W101" s="25">
        <f>'Small Dist Weight'!V100-Calculations!D101</f>
        <v>178.09746081504704</v>
      </c>
      <c r="X101" s="25">
        <f>IF(settings!$P$9=0,'Large District Weight'!H100*'Large District Weight'!G100,0)</f>
        <v>0</v>
      </c>
      <c r="Y101" s="25">
        <f t="shared" si="13"/>
        <v>292.96146081504708</v>
      </c>
      <c r="Z101" s="25">
        <f>IF(settings!$F$13=0,'Teacher Exp'!L101,0)</f>
        <v>3.997351043113083</v>
      </c>
      <c r="AA101" s="25">
        <f t="shared" si="14"/>
        <v>296.95881185816017</v>
      </c>
      <c r="AC101" s="26">
        <f>'Student Enrollment Data'!BU102</f>
        <v>0</v>
      </c>
      <c r="AD101" s="26">
        <f t="shared" si="15"/>
        <v>9.3000000000000007</v>
      </c>
      <c r="AE101" s="26">
        <f>AD101*'Front page'!$B$16</f>
        <v>0.18600000000000003</v>
      </c>
      <c r="AG101" s="6">
        <f>M101*'Front page'!$E$3</f>
        <v>394021.6067124597</v>
      </c>
      <c r="AH101" s="6">
        <f>N101*'Front page'!$E$3</f>
        <v>11439.336969071412</v>
      </c>
      <c r="AI101" s="6">
        <f>O101*'Front page'!$E$3</f>
        <v>10591.978675066121</v>
      </c>
      <c r="AJ101" s="6">
        <f>P101*'Front page'!$E$3</f>
        <v>52324.374654826635</v>
      </c>
      <c r="AK101" s="6">
        <f>Q101*'Front page'!$E$3</f>
        <v>17489.475188269178</v>
      </c>
      <c r="AL101" s="6">
        <f>S101*'Front page'!$E$3</f>
        <v>0</v>
      </c>
      <c r="AM101" s="5">
        <f>Z101*'Front page'!$E$3</f>
        <v>16935.942802162834</v>
      </c>
      <c r="AN101" s="6">
        <f>T101*'Front page'!$E$3</f>
        <v>788.04321342491949</v>
      </c>
      <c r="AO101" s="6">
        <f>U101*'Front page'!$E$3</f>
        <v>0</v>
      </c>
      <c r="AP101" s="6">
        <f>W101*'Front page'!$E$3</f>
        <v>754561.80281456094</v>
      </c>
      <c r="AQ101" s="6">
        <f>V101*'Front page'!$E$3</f>
        <v>0</v>
      </c>
      <c r="AR101" s="6">
        <f>X101*'Front page'!$E$3</f>
        <v>0</v>
      </c>
      <c r="AS101" s="6">
        <f t="shared" si="16"/>
        <v>1258152.5610298417</v>
      </c>
      <c r="AT101" s="7">
        <f>IF(AS101&gt;'Funding Comparison'!D101*(1+'Front page'!$H$10),'Funding Comparison'!D101*(1+'Front page'!$H$10),AS101)</f>
        <v>1258152.5610298417</v>
      </c>
    </row>
    <row r="102" spans="1:46">
      <c r="A102" t="str">
        <f t="shared" si="9"/>
        <v>393</v>
      </c>
      <c r="B102">
        <f t="shared" si="11"/>
        <v>393</v>
      </c>
      <c r="C102" s="15" t="s">
        <v>111</v>
      </c>
      <c r="D102">
        <f>IF(settings!$G$4=0,'Student Enrollment Data'!AX103,'Student Enrollment Data'!CK103)</f>
        <v>459.5</v>
      </c>
      <c r="E102">
        <f>IF(settings!$G$4=0,'Student Enrollment Data'!AY103,'Student Enrollment Data'!CL103)</f>
        <v>120.5</v>
      </c>
      <c r="F102">
        <f>IF(settings!$G$4=0,'Student Enrollment Data'!AZ103,'Student Enrollment Data'!CM103)</f>
        <v>145</v>
      </c>
      <c r="G102" s="25">
        <f>'Student Enrollment Data'!BK103</f>
        <v>83</v>
      </c>
      <c r="H102">
        <f>'Student Enrollment Data'!BF103</f>
        <v>272</v>
      </c>
      <c r="I102">
        <f>SUM('Student Enrollment Data'!R103:X103,'Student Enrollment Data'!AQ103:AW103)</f>
        <v>0</v>
      </c>
      <c r="J102">
        <f>'Student Enrollment Data'!BS103</f>
        <v>38.633598745560413</v>
      </c>
      <c r="K102">
        <f t="shared" si="12"/>
        <v>45.95</v>
      </c>
      <c r="M102" s="30">
        <f t="shared" si="17"/>
        <v>459.5</v>
      </c>
      <c r="N102" s="30">
        <f>E102*'Front page'!$B$20</f>
        <v>12.05</v>
      </c>
      <c r="O102" s="30">
        <f>F102*'Front page'!$B$21</f>
        <v>14.5</v>
      </c>
      <c r="P102">
        <f>G102*'Front page'!$B$18</f>
        <v>53.95</v>
      </c>
      <c r="Q102" s="30">
        <f>IF(settings!$B$4=0,Calculations!H102,Calculations!I102) *'Front page'!$B$11</f>
        <v>27.200000000000003</v>
      </c>
      <c r="R102" s="31">
        <f>ROUND(I102*'Front page'!$B$9,2)</f>
        <v>0</v>
      </c>
      <c r="S102" s="30">
        <f>J102*'Front page'!$B$14</f>
        <v>3.8633598745560414</v>
      </c>
      <c r="T102" s="103">
        <f>'Front page'!$B$16*Calculations!K102</f>
        <v>0.91900000000000004</v>
      </c>
      <c r="U102" s="103">
        <f>IF(settings!$B$13=0,(Calculations!M102*'District Wealth Adjustment'!M101)-Calculations!M102,0)</f>
        <v>0.46104675746454404</v>
      </c>
      <c r="V102" s="185">
        <f>VLOOKUP(B102,'Remote School Building Weight'!$M$2:$P$174,3,FALSE)</f>
        <v>0</v>
      </c>
      <c r="W102" s="25">
        <f>'Small Dist Weight'!V101-Calculations!D102</f>
        <v>177.86186716300949</v>
      </c>
      <c r="X102" s="25">
        <f>IF(settings!$P$9=0,'Large District Weight'!H101*'Large District Weight'!G101,0)</f>
        <v>0</v>
      </c>
      <c r="Y102" s="25">
        <f t="shared" si="13"/>
        <v>750.30527379503019</v>
      </c>
      <c r="Z102" s="25">
        <f>IF(settings!$F$13=0,'Teacher Exp'!L102,0)</f>
        <v>0</v>
      </c>
      <c r="AA102" s="25">
        <f t="shared" si="14"/>
        <v>750.30527379503019</v>
      </c>
      <c r="AC102" s="26">
        <f>'Student Enrollment Data'!BU103</f>
        <v>17</v>
      </c>
      <c r="AD102" s="26">
        <f t="shared" si="15"/>
        <v>45.95</v>
      </c>
      <c r="AE102" s="26">
        <f>AD102*'Front page'!$B$16</f>
        <v>0.91900000000000004</v>
      </c>
      <c r="AG102" s="6">
        <f>M102*'Front page'!$E$3</f>
        <v>1946805.680477153</v>
      </c>
      <c r="AH102" s="6">
        <f>N102*'Front page'!$E$3</f>
        <v>51053.337213818704</v>
      </c>
      <c r="AI102" s="6">
        <f>O102*'Front page'!$E$3</f>
        <v>61433.476315383501</v>
      </c>
      <c r="AJ102" s="6">
        <f>P102*'Front page'!$E$3</f>
        <v>228574.89980792691</v>
      </c>
      <c r="AK102" s="6">
        <f>Q102*'Front page'!$E$3</f>
        <v>115240.7279847194</v>
      </c>
      <c r="AL102" s="6">
        <f>S102*'Front page'!$E$3</f>
        <v>16368.250162161485</v>
      </c>
      <c r="AM102" s="5">
        <f>Z102*'Front page'!$E$3</f>
        <v>0</v>
      </c>
      <c r="AN102" s="6">
        <f>T102*'Front page'!$E$3</f>
        <v>3893.6113609543063</v>
      </c>
      <c r="AO102" s="6">
        <f>U102*'Front page'!$E$3</f>
        <v>1953.3589693091328</v>
      </c>
      <c r="AP102" s="6">
        <f>W102*'Front page'!$E$3</f>
        <v>753563.64163921587</v>
      </c>
      <c r="AQ102" s="6">
        <f>V102*'Front page'!$E$3</f>
        <v>0</v>
      </c>
      <c r="AR102" s="6">
        <f>X102*'Front page'!$E$3</f>
        <v>0</v>
      </c>
      <c r="AS102" s="6">
        <f t="shared" si="16"/>
        <v>3178886.9839306418</v>
      </c>
      <c r="AT102" s="7">
        <f>IF(AS102&gt;'Funding Comparison'!D102*(1+'Front page'!$H$10),'Funding Comparison'!D102*(1+'Front page'!$H$10),AS102)</f>
        <v>3178886.9839306418</v>
      </c>
    </row>
    <row r="103" spans="1:46">
      <c r="A103" t="str">
        <f t="shared" si="9"/>
        <v>394</v>
      </c>
      <c r="B103">
        <f t="shared" si="11"/>
        <v>394</v>
      </c>
      <c r="C103" s="15" t="s">
        <v>112</v>
      </c>
      <c r="D103">
        <f>IF(settings!$G$4=0,'Student Enrollment Data'!AX104,'Student Enrollment Data'!CK104)</f>
        <v>17</v>
      </c>
      <c r="E103">
        <f>IF(settings!$G$4=0,'Student Enrollment Data'!AY104,'Student Enrollment Data'!CL104)</f>
        <v>8</v>
      </c>
      <c r="F103">
        <f>IF(settings!$G$4=0,'Student Enrollment Data'!AZ104,'Student Enrollment Data'!CM104)</f>
        <v>0</v>
      </c>
      <c r="G103" s="25">
        <f>'Student Enrollment Data'!BK104</f>
        <v>1.8801014175458666</v>
      </c>
      <c r="H103">
        <f>'Student Enrollment Data'!BF104</f>
        <v>7.74</v>
      </c>
      <c r="I103">
        <f>SUM('Student Enrollment Data'!R104:X104,'Student Enrollment Data'!AQ104:AW104)</f>
        <v>0</v>
      </c>
      <c r="J103">
        <f>'Student Enrollment Data'!BS104</f>
        <v>0</v>
      </c>
      <c r="K103">
        <f t="shared" si="12"/>
        <v>3</v>
      </c>
      <c r="M103" s="30">
        <f t="shared" si="17"/>
        <v>30</v>
      </c>
      <c r="N103" s="30">
        <f>E103*'Front page'!$B$20</f>
        <v>0.8</v>
      </c>
      <c r="O103" s="30">
        <f>F103*'Front page'!$B$21</f>
        <v>0</v>
      </c>
      <c r="P103">
        <f>G103*'Front page'!$B$18</f>
        <v>1.2220659214048133</v>
      </c>
      <c r="Q103" s="30">
        <f>IF(settings!$B$4=0,Calculations!H103,Calculations!I103) *'Front page'!$B$11</f>
        <v>0.77400000000000002</v>
      </c>
      <c r="R103" s="31">
        <f>ROUND(I103*'Front page'!$B$9,2)</f>
        <v>0</v>
      </c>
      <c r="S103" s="30">
        <f>J103*'Front page'!$B$14</f>
        <v>0</v>
      </c>
      <c r="T103" s="103">
        <f>'Front page'!$B$16*Calculations!K103</f>
        <v>0.06</v>
      </c>
      <c r="U103" s="103">
        <f>IF(settings!$B$13=0,(Calculations!M103*'District Wealth Adjustment'!M102)-Calculations!M103,0)</f>
        <v>0</v>
      </c>
      <c r="V103" s="185">
        <f>VLOOKUP(B103,'Remote School Building Weight'!$M$2:$P$174,3,FALSE)</f>
        <v>0</v>
      </c>
      <c r="W103" s="25">
        <f>'Small Dist Weight'!V102-Calculations!D103</f>
        <v>17.849999999999994</v>
      </c>
      <c r="X103" s="25">
        <f>IF(settings!$P$9=0,'Large District Weight'!H102*'Large District Weight'!G102,0)</f>
        <v>0</v>
      </c>
      <c r="Y103" s="25">
        <f t="shared" si="13"/>
        <v>50.706065921404814</v>
      </c>
      <c r="Z103" s="25">
        <f>IF(settings!$F$13=0,'Teacher Exp'!L103,0)</f>
        <v>2.5353032960702411</v>
      </c>
      <c r="AA103" s="25">
        <f t="shared" si="14"/>
        <v>53.241369217475054</v>
      </c>
      <c r="AC103" s="26">
        <f>'Student Enrollment Data'!BU104</f>
        <v>0</v>
      </c>
      <c r="AD103" s="26">
        <f t="shared" si="15"/>
        <v>3</v>
      </c>
      <c r="AE103" s="26">
        <f>AD103*'Front page'!$B$16</f>
        <v>0.06</v>
      </c>
      <c r="AG103" s="6">
        <f>M103*'Front page'!$E$3</f>
        <v>127103.74410079344</v>
      </c>
      <c r="AH103" s="6">
        <f>N103*'Front page'!$E$3</f>
        <v>3389.4331760211589</v>
      </c>
      <c r="AI103" s="6">
        <f>O103*'Front page'!$E$3</f>
        <v>0</v>
      </c>
      <c r="AJ103" s="6">
        <f>P103*'Front page'!$E$3</f>
        <v>5177.6384716179246</v>
      </c>
      <c r="AK103" s="6">
        <f>Q103*'Front page'!$E$3</f>
        <v>3279.2765978004709</v>
      </c>
      <c r="AL103" s="6">
        <f>S103*'Front page'!$E$3</f>
        <v>0</v>
      </c>
      <c r="AM103" s="5">
        <f>Z103*'Front page'!$E$3</f>
        <v>10741.551378720336</v>
      </c>
      <c r="AN103" s="6">
        <f>T103*'Front page'!$E$3</f>
        <v>254.2074882015869</v>
      </c>
      <c r="AO103" s="6">
        <f>U103*'Front page'!$E$3</f>
        <v>0</v>
      </c>
      <c r="AP103" s="6">
        <f>W103*'Front page'!$E$3</f>
        <v>75626.727739972077</v>
      </c>
      <c r="AQ103" s="6">
        <f>V103*'Front page'!$E$3</f>
        <v>0</v>
      </c>
      <c r="AR103" s="6">
        <f>X103*'Front page'!$E$3</f>
        <v>0</v>
      </c>
      <c r="AS103" s="6">
        <f t="shared" si="16"/>
        <v>225572.57895312697</v>
      </c>
      <c r="AT103" s="7">
        <f>IF(AS103&gt;'Funding Comparison'!D103*(1+'Front page'!$H$10),'Funding Comparison'!D103*(1+'Front page'!$H$10),AS103)</f>
        <v>202418.62999999998</v>
      </c>
    </row>
    <row r="104" spans="1:46">
      <c r="A104" t="str">
        <f t="shared" si="9"/>
        <v>401</v>
      </c>
      <c r="B104">
        <f t="shared" si="11"/>
        <v>401</v>
      </c>
      <c r="C104" s="15" t="s">
        <v>113</v>
      </c>
      <c r="D104">
        <f>IF(settings!$G$4=0,'Student Enrollment Data'!AX105,'Student Enrollment Data'!CK105)</f>
        <v>1747</v>
      </c>
      <c r="E104">
        <f>IF(settings!$G$4=0,'Student Enrollment Data'!AY105,'Student Enrollment Data'!CL105)</f>
        <v>476</v>
      </c>
      <c r="F104">
        <f>IF(settings!$G$4=0,'Student Enrollment Data'!AZ105,'Student Enrollment Data'!CM105)</f>
        <v>517</v>
      </c>
      <c r="G104" s="25">
        <f>'Student Enrollment Data'!BK105</f>
        <v>212</v>
      </c>
      <c r="H104">
        <f>'Student Enrollment Data'!BF105</f>
        <v>738</v>
      </c>
      <c r="I104">
        <f>SUM('Student Enrollment Data'!R105:X105,'Student Enrollment Data'!AQ105:AW105)</f>
        <v>16.561087531402208</v>
      </c>
      <c r="J104">
        <f>'Student Enrollment Data'!BS105</f>
        <v>317</v>
      </c>
      <c r="K104">
        <f t="shared" si="12"/>
        <v>174.70000000000002</v>
      </c>
      <c r="M104" s="30">
        <f t="shared" si="17"/>
        <v>1747</v>
      </c>
      <c r="N104" s="30">
        <f>E104*'Front page'!$B$20</f>
        <v>47.6</v>
      </c>
      <c r="O104" s="30">
        <f>F104*'Front page'!$B$21</f>
        <v>51.7</v>
      </c>
      <c r="P104">
        <f>G104*'Front page'!$B$18</f>
        <v>137.80000000000001</v>
      </c>
      <c r="Q104" s="30">
        <f>IF(settings!$B$4=0,Calculations!H104,Calculations!I104) *'Front page'!$B$11</f>
        <v>73.8</v>
      </c>
      <c r="R104" s="31">
        <f>ROUND(I104*'Front page'!$B$9,2)</f>
        <v>0</v>
      </c>
      <c r="S104" s="30">
        <f>J104*'Front page'!$B$14</f>
        <v>31.700000000000003</v>
      </c>
      <c r="T104" s="103">
        <f>'Front page'!$B$16*Calculations!K104</f>
        <v>3.4940000000000002</v>
      </c>
      <c r="U104" s="103">
        <f>IF(settings!$B$13=0,(Calculations!M104*'District Wealth Adjustment'!M103)-Calculations!M104,0)</f>
        <v>0</v>
      </c>
      <c r="V104" s="185">
        <f>VLOOKUP(B104,'Remote School Building Weight'!$M$2:$P$174,3,FALSE)</f>
        <v>0</v>
      </c>
      <c r="W104" s="25">
        <f>'Small Dist Weight'!V103-Calculations!D104</f>
        <v>30.23034482758635</v>
      </c>
      <c r="X104" s="25">
        <f>IF(settings!$P$9=0,'Large District Weight'!H103*'Large District Weight'!G103,0)</f>
        <v>0</v>
      </c>
      <c r="Y104" s="25">
        <f t="shared" si="13"/>
        <v>2123.3243448275862</v>
      </c>
      <c r="Z104" s="25">
        <f>IF(settings!$F$13=0,'Teacher Exp'!L104,0)</f>
        <v>11.470615738832958</v>
      </c>
      <c r="AA104" s="25">
        <f t="shared" si="14"/>
        <v>2134.7949605664189</v>
      </c>
      <c r="AC104" s="26">
        <f>'Student Enrollment Data'!BU105</f>
        <v>11</v>
      </c>
      <c r="AD104" s="26">
        <f t="shared" si="15"/>
        <v>174.70000000000002</v>
      </c>
      <c r="AE104" s="26">
        <f>AD104*'Front page'!$B$16</f>
        <v>3.4940000000000002</v>
      </c>
      <c r="AG104" s="6">
        <f>M104*'Front page'!$E$3</f>
        <v>7401674.6981362049</v>
      </c>
      <c r="AH104" s="6">
        <f>N104*'Front page'!$E$3</f>
        <v>201671.27397325894</v>
      </c>
      <c r="AI104" s="6">
        <f>O104*'Front page'!$E$3</f>
        <v>219042.11900036738</v>
      </c>
      <c r="AJ104" s="6">
        <f>P104*'Front page'!$E$3</f>
        <v>583829.86456964456</v>
      </c>
      <c r="AK104" s="6">
        <f>Q104*'Front page'!$E$3</f>
        <v>312675.21048795187</v>
      </c>
      <c r="AL104" s="6">
        <f>S104*'Front page'!$E$3</f>
        <v>134306.28959983843</v>
      </c>
      <c r="AM104" s="5">
        <f>Z104*'Front page'!$E$3</f>
        <v>48598.606918238598</v>
      </c>
      <c r="AN104" s="6">
        <f>T104*'Front page'!$E$3</f>
        <v>14803.349396272411</v>
      </c>
      <c r="AO104" s="6">
        <f>U104*'Front page'!$E$3</f>
        <v>0</v>
      </c>
      <c r="AP104" s="6">
        <f>W104*'Front page'!$E$3</f>
        <v>128079.66710147601</v>
      </c>
      <c r="AQ104" s="6">
        <f>V104*'Front page'!$E$3</f>
        <v>0</v>
      </c>
      <c r="AR104" s="6">
        <f>X104*'Front page'!$E$3</f>
        <v>0</v>
      </c>
      <c r="AS104" s="6">
        <f t="shared" si="16"/>
        <v>9044681.0791832525</v>
      </c>
      <c r="AT104" s="7">
        <f>IF(AS104&gt;'Funding Comparison'!D104*(1+'Front page'!$H$10),'Funding Comparison'!D104*(1+'Front page'!$H$10),AS104)</f>
        <v>9044681.0791832525</v>
      </c>
    </row>
    <row r="105" spans="1:46">
      <c r="A105" t="str">
        <f t="shared" si="9"/>
        <v>411</v>
      </c>
      <c r="B105">
        <f t="shared" si="11"/>
        <v>411</v>
      </c>
      <c r="C105" s="15" t="s">
        <v>114</v>
      </c>
      <c r="D105">
        <f>IF(settings!$G$4=0,'Student Enrollment Data'!AX106,'Student Enrollment Data'!CK106)</f>
        <v>9023</v>
      </c>
      <c r="E105">
        <f>IF(settings!$G$4=0,'Student Enrollment Data'!AY106,'Student Enrollment Data'!CL106)</f>
        <v>2690</v>
      </c>
      <c r="F105">
        <f>IF(settings!$G$4=0,'Student Enrollment Data'!AZ106,'Student Enrollment Data'!CM106)</f>
        <v>2561</v>
      </c>
      <c r="G105" s="25">
        <f>'Student Enrollment Data'!BK106</f>
        <v>981</v>
      </c>
      <c r="H105">
        <f>'Student Enrollment Data'!BF106</f>
        <v>6333</v>
      </c>
      <c r="I105">
        <f>SUM('Student Enrollment Data'!R106:X106,'Student Enrollment Data'!AQ106:AW106)</f>
        <v>355.2471965645106</v>
      </c>
      <c r="J105">
        <f>'Student Enrollment Data'!BS106</f>
        <v>1026</v>
      </c>
      <c r="K105">
        <f t="shared" si="12"/>
        <v>902.30000000000007</v>
      </c>
      <c r="M105" s="30">
        <f t="shared" si="17"/>
        <v>9023</v>
      </c>
      <c r="N105" s="30">
        <f>E105*'Front page'!$B$20</f>
        <v>269</v>
      </c>
      <c r="O105" s="30">
        <f>F105*'Front page'!$B$21</f>
        <v>256.10000000000002</v>
      </c>
      <c r="P105">
        <f>G105*'Front page'!$B$18</f>
        <v>637.65</v>
      </c>
      <c r="Q105" s="30">
        <f>IF(settings!$B$4=0,Calculations!H105,Calculations!I105) *'Front page'!$B$11</f>
        <v>633.30000000000007</v>
      </c>
      <c r="R105" s="31">
        <f>ROUND(I105*'Front page'!$B$9,2)</f>
        <v>0</v>
      </c>
      <c r="S105" s="30">
        <f>J105*'Front page'!$B$14</f>
        <v>102.60000000000001</v>
      </c>
      <c r="T105" s="103">
        <f>'Front page'!$B$16*Calculations!K105</f>
        <v>18.046000000000003</v>
      </c>
      <c r="U105" s="103">
        <f>IF(settings!$B$13=0,(Calculations!M105*'District Wealth Adjustment'!M104)-Calculations!M105,0)</f>
        <v>902.30000000000109</v>
      </c>
      <c r="V105" s="185">
        <f>VLOOKUP(B105,'Remote School Building Weight'!$M$2:$P$174,3,FALSE)</f>
        <v>0</v>
      </c>
      <c r="W105" s="25">
        <f>'Small Dist Weight'!V104-Calculations!D105</f>
        <v>0</v>
      </c>
      <c r="X105" s="25">
        <f>IF(settings!$P$9=0,'Large District Weight'!H104*'Large District Weight'!G104,0)</f>
        <v>0</v>
      </c>
      <c r="Y105" s="25">
        <f t="shared" si="13"/>
        <v>11841.996000000001</v>
      </c>
      <c r="Z105" s="25">
        <f>IF(settings!$F$13=0,'Teacher Exp'!L105,0)</f>
        <v>0</v>
      </c>
      <c r="AA105" s="25">
        <f t="shared" si="14"/>
        <v>11841.996000000001</v>
      </c>
      <c r="AC105" s="26">
        <f>'Student Enrollment Data'!BU106</f>
        <v>183</v>
      </c>
      <c r="AD105" s="26">
        <f t="shared" si="15"/>
        <v>902.30000000000007</v>
      </c>
      <c r="AE105" s="26">
        <f>AD105*'Front page'!$B$16</f>
        <v>18.046000000000003</v>
      </c>
      <c r="AG105" s="6">
        <f>M105*'Front page'!$E$3</f>
        <v>38228569.434048645</v>
      </c>
      <c r="AH105" s="6">
        <f>N105*'Front page'!$E$3</f>
        <v>1139696.9054371146</v>
      </c>
      <c r="AI105" s="6">
        <f>O105*'Front page'!$E$3</f>
        <v>1085042.2954737735</v>
      </c>
      <c r="AJ105" s="6">
        <f>P105*'Front page'!$E$3</f>
        <v>2701590.0808623647</v>
      </c>
      <c r="AK105" s="6">
        <f>Q105*'Front page'!$E$3</f>
        <v>2683160.0379677499</v>
      </c>
      <c r="AL105" s="6">
        <f>S105*'Front page'!$E$3</f>
        <v>434694.80482471362</v>
      </c>
      <c r="AM105" s="5">
        <f>Z105*'Front page'!$E$3</f>
        <v>0</v>
      </c>
      <c r="AN105" s="6">
        <f>T105*'Front page'!$E$3</f>
        <v>76457.138868097303</v>
      </c>
      <c r="AO105" s="6">
        <f>U105*'Front page'!$E$3</f>
        <v>3822856.9434048687</v>
      </c>
      <c r="AP105" s="6">
        <f>W105*'Front page'!$E$3</f>
        <v>0</v>
      </c>
      <c r="AQ105" s="6">
        <f>V105*'Front page'!$E$3</f>
        <v>0</v>
      </c>
      <c r="AR105" s="6">
        <f>X105*'Front page'!$E$3</f>
        <v>0</v>
      </c>
      <c r="AS105" s="6">
        <f t="shared" si="16"/>
        <v>50172067.640887327</v>
      </c>
      <c r="AT105" s="7">
        <f>IF(AS105&gt;'Funding Comparison'!D105*(1+'Front page'!$H$10),'Funding Comparison'!D105*(1+'Front page'!$H$10),AS105)</f>
        <v>49978562.56825</v>
      </c>
    </row>
    <row r="106" spans="1:46">
      <c r="A106" t="str">
        <f t="shared" si="9"/>
        <v>412</v>
      </c>
      <c r="B106">
        <f t="shared" si="11"/>
        <v>412</v>
      </c>
      <c r="C106" s="15" t="s">
        <v>115</v>
      </c>
      <c r="D106">
        <f>IF(settings!$G$4=0,'Student Enrollment Data'!AX107,'Student Enrollment Data'!CK107)</f>
        <v>1207.5</v>
      </c>
      <c r="E106">
        <f>IF(settings!$G$4=0,'Student Enrollment Data'!AY107,'Student Enrollment Data'!CL107)</f>
        <v>347.5</v>
      </c>
      <c r="F106">
        <f>IF(settings!$G$4=0,'Student Enrollment Data'!AZ107,'Student Enrollment Data'!CM107)</f>
        <v>339</v>
      </c>
      <c r="G106" s="25">
        <f>'Student Enrollment Data'!BK107</f>
        <v>149</v>
      </c>
      <c r="H106">
        <f>'Student Enrollment Data'!BF107</f>
        <v>1098</v>
      </c>
      <c r="I106">
        <f>SUM('Student Enrollment Data'!R107:X107,'Student Enrollment Data'!AQ107:AW107)</f>
        <v>40.126004028274622</v>
      </c>
      <c r="J106">
        <f>'Student Enrollment Data'!BS107</f>
        <v>225</v>
      </c>
      <c r="K106">
        <f t="shared" si="12"/>
        <v>120.75</v>
      </c>
      <c r="M106" s="30">
        <f t="shared" si="17"/>
        <v>1207.5</v>
      </c>
      <c r="N106" s="30">
        <f>E106*'Front page'!$B$20</f>
        <v>34.75</v>
      </c>
      <c r="O106" s="30">
        <f>F106*'Front page'!$B$21</f>
        <v>33.9</v>
      </c>
      <c r="P106">
        <f>G106*'Front page'!$B$18</f>
        <v>96.850000000000009</v>
      </c>
      <c r="Q106" s="30">
        <f>IF(settings!$B$4=0,Calculations!H106,Calculations!I106) *'Front page'!$B$11</f>
        <v>109.80000000000001</v>
      </c>
      <c r="R106" s="31">
        <f>ROUND(I106*'Front page'!$B$9,2)</f>
        <v>0</v>
      </c>
      <c r="S106" s="30">
        <f>J106*'Front page'!$B$14</f>
        <v>22.5</v>
      </c>
      <c r="T106" s="103">
        <f>'Front page'!$B$16*Calculations!K106</f>
        <v>2.415</v>
      </c>
      <c r="U106" s="103">
        <f>IF(settings!$B$13=0,(Calculations!M106*'District Wealth Adjustment'!M105)-Calculations!M106,0)</f>
        <v>77.45436750613203</v>
      </c>
      <c r="V106" s="185">
        <f>VLOOKUP(B106,'Remote School Building Weight'!$M$2:$P$174,3,FALSE)</f>
        <v>0</v>
      </c>
      <c r="W106" s="25">
        <f>'Small Dist Weight'!V105-Calculations!D106</f>
        <v>105.64206896551741</v>
      </c>
      <c r="X106" s="25">
        <f>IF(settings!$P$9=0,'Large District Weight'!H105*'Large District Weight'!G105,0)</f>
        <v>0</v>
      </c>
      <c r="Y106" s="25">
        <f t="shared" si="13"/>
        <v>1690.8114364716494</v>
      </c>
      <c r="Z106" s="25">
        <f>IF(settings!$F$13=0,'Teacher Exp'!L106,0)</f>
        <v>0</v>
      </c>
      <c r="AA106" s="25">
        <f t="shared" si="14"/>
        <v>1690.8114364716494</v>
      </c>
      <c r="AC106" s="26">
        <f>'Student Enrollment Data'!BU107</f>
        <v>28</v>
      </c>
      <c r="AD106" s="26">
        <f t="shared" si="15"/>
        <v>120.75</v>
      </c>
      <c r="AE106" s="26">
        <f>AD106*'Front page'!$B$16</f>
        <v>2.415</v>
      </c>
      <c r="AG106" s="6">
        <f>M106*'Front page'!$E$3</f>
        <v>5115925.7000569366</v>
      </c>
      <c r="AH106" s="6">
        <f>N106*'Front page'!$E$3</f>
        <v>147228.50358341908</v>
      </c>
      <c r="AI106" s="6">
        <f>O106*'Front page'!$E$3</f>
        <v>143627.23083389658</v>
      </c>
      <c r="AJ106" s="6">
        <f>P106*'Front page'!$E$3</f>
        <v>410333.25387206156</v>
      </c>
      <c r="AK106" s="6">
        <f>Q106*'Front page'!$E$3</f>
        <v>465199.70340890408</v>
      </c>
      <c r="AL106" s="6">
        <f>S106*'Front page'!$E$3</f>
        <v>95327.80807559508</v>
      </c>
      <c r="AM106" s="5">
        <f>Z106*'Front page'!$E$3</f>
        <v>0</v>
      </c>
      <c r="AN106" s="6">
        <f>T106*'Front page'!$E$3</f>
        <v>10231.851400113872</v>
      </c>
      <c r="AO106" s="6">
        <f>U106*'Front page'!$E$3</f>
        <v>328158.0035662739</v>
      </c>
      <c r="AP106" s="6">
        <f>W106*'Front page'!$E$3</f>
        <v>447583.41666904994</v>
      </c>
      <c r="AQ106" s="6">
        <f>V106*'Front page'!$E$3</f>
        <v>0</v>
      </c>
      <c r="AR106" s="6">
        <f>X106*'Front page'!$E$3</f>
        <v>0</v>
      </c>
      <c r="AS106" s="6">
        <f t="shared" si="16"/>
        <v>7163615.4714662498</v>
      </c>
      <c r="AT106" s="7">
        <f>IF(AS106&gt;'Funding Comparison'!D106*(1+'Front page'!$H$10),'Funding Comparison'!D106*(1+'Front page'!$H$10),AS106)</f>
        <v>7163615.4714662498</v>
      </c>
    </row>
    <row r="107" spans="1:46">
      <c r="A107" t="str">
        <f t="shared" si="9"/>
        <v>413</v>
      </c>
      <c r="B107">
        <f t="shared" si="11"/>
        <v>413</v>
      </c>
      <c r="C107" s="15" t="s">
        <v>116</v>
      </c>
      <c r="D107">
        <f>IF(settings!$G$4=0,'Student Enrollment Data'!AX108,'Student Enrollment Data'!CK108)</f>
        <v>1595.5</v>
      </c>
      <c r="E107">
        <f>IF(settings!$G$4=0,'Student Enrollment Data'!AY108,'Student Enrollment Data'!CL108)</f>
        <v>392.5</v>
      </c>
      <c r="F107">
        <f>IF(settings!$G$4=0,'Student Enrollment Data'!AZ108,'Student Enrollment Data'!CM108)</f>
        <v>500</v>
      </c>
      <c r="G107" s="25">
        <f>'Student Enrollment Data'!BK108</f>
        <v>159</v>
      </c>
      <c r="H107">
        <f>'Student Enrollment Data'!BF108</f>
        <v>569</v>
      </c>
      <c r="I107">
        <f>SUM('Student Enrollment Data'!R108:X108,'Student Enrollment Data'!AQ108:AW108)</f>
        <v>0</v>
      </c>
      <c r="J107">
        <f>'Student Enrollment Data'!BS108</f>
        <v>56</v>
      </c>
      <c r="K107">
        <f t="shared" si="12"/>
        <v>159.55000000000001</v>
      </c>
      <c r="M107" s="30">
        <f t="shared" si="17"/>
        <v>1595.5</v>
      </c>
      <c r="N107" s="30">
        <f>E107*'Front page'!$B$20</f>
        <v>39.25</v>
      </c>
      <c r="O107" s="30">
        <f>F107*'Front page'!$B$21</f>
        <v>50</v>
      </c>
      <c r="P107">
        <f>G107*'Front page'!$B$18</f>
        <v>103.35000000000001</v>
      </c>
      <c r="Q107" s="30">
        <f>IF(settings!$B$4=0,Calculations!H107,Calculations!I107) *'Front page'!$B$11</f>
        <v>56.900000000000006</v>
      </c>
      <c r="R107" s="31">
        <f>ROUND(I107*'Front page'!$B$9,2)</f>
        <v>0</v>
      </c>
      <c r="S107" s="30">
        <f>J107*'Front page'!$B$14</f>
        <v>5.6000000000000005</v>
      </c>
      <c r="T107" s="103">
        <f>'Front page'!$B$16*Calculations!K107</f>
        <v>3.1910000000000003</v>
      </c>
      <c r="U107" s="103">
        <f>IF(settings!$B$13=0,(Calculations!M107*'District Wealth Adjustment'!M106)-Calculations!M107,0)</f>
        <v>159.55000000000018</v>
      </c>
      <c r="V107" s="185">
        <f>VLOOKUP(B107,'Remote School Building Weight'!$M$2:$P$174,3,FALSE)</f>
        <v>44.736525324156268</v>
      </c>
      <c r="W107" s="25">
        <f>'Small Dist Weight'!V106-Calculations!D107</f>
        <v>38.565775862069131</v>
      </c>
      <c r="X107" s="25">
        <f>IF(settings!$P$9=0,'Large District Weight'!H106*'Large District Weight'!G106,0)</f>
        <v>0</v>
      </c>
      <c r="Y107" s="25">
        <f t="shared" si="13"/>
        <v>2096.6433011862255</v>
      </c>
      <c r="Z107" s="25">
        <f>IF(settings!$F$13=0,'Teacher Exp'!L107,0)</f>
        <v>0</v>
      </c>
      <c r="AA107" s="25">
        <f t="shared" si="14"/>
        <v>2096.6433011862255</v>
      </c>
      <c r="AC107" s="26">
        <f>'Student Enrollment Data'!BU108</f>
        <v>0</v>
      </c>
      <c r="AD107" s="26">
        <f t="shared" si="15"/>
        <v>159.55000000000001</v>
      </c>
      <c r="AE107" s="26">
        <f>AD107*'Front page'!$B$16</f>
        <v>3.1910000000000003</v>
      </c>
      <c r="AG107" s="6">
        <f>M107*'Front page'!$E$3</f>
        <v>6759800.7904271977</v>
      </c>
      <c r="AH107" s="6">
        <f>N107*'Front page'!$E$3</f>
        <v>166294.0651985381</v>
      </c>
      <c r="AI107" s="6">
        <f>O107*'Front page'!$E$3</f>
        <v>211839.57350132242</v>
      </c>
      <c r="AJ107" s="6">
        <f>P107*'Front page'!$E$3</f>
        <v>437872.39842723345</v>
      </c>
      <c r="AK107" s="6">
        <f>Q107*'Front page'!$E$3</f>
        <v>241073.43464450492</v>
      </c>
      <c r="AL107" s="6">
        <f>S107*'Front page'!$E$3</f>
        <v>23726.032232148111</v>
      </c>
      <c r="AM107" s="5">
        <f>Z107*'Front page'!$E$3</f>
        <v>0</v>
      </c>
      <c r="AN107" s="6">
        <f>T107*'Front page'!$E$3</f>
        <v>13519.601580854398</v>
      </c>
      <c r="AO107" s="6">
        <f>U107*'Front page'!$E$3</f>
        <v>675980.07904272061</v>
      </c>
      <c r="AP107" s="6">
        <f>W107*'Front page'!$E$3</f>
        <v>163395.15020736639</v>
      </c>
      <c r="AQ107" s="6">
        <f>V107*'Front page'!$E$3</f>
        <v>189539.32889200747</v>
      </c>
      <c r="AR107" s="6">
        <f>X107*'Front page'!$E$3</f>
        <v>0</v>
      </c>
      <c r="AS107" s="6">
        <f t="shared" si="16"/>
        <v>8883040.4541538954</v>
      </c>
      <c r="AT107" s="7">
        <f>IF(AS107&gt;'Funding Comparison'!D107*(1+'Front page'!$H$10),'Funding Comparison'!D107*(1+'Front page'!$H$10),AS107)</f>
        <v>8883040.4541538954</v>
      </c>
    </row>
    <row r="108" spans="1:46">
      <c r="A108" t="str">
        <f t="shared" si="9"/>
        <v>414</v>
      </c>
      <c r="B108">
        <f t="shared" si="11"/>
        <v>414</v>
      </c>
      <c r="C108" s="15" t="s">
        <v>117</v>
      </c>
      <c r="D108">
        <f>IF(settings!$G$4=0,'Student Enrollment Data'!AX109,'Student Enrollment Data'!CK109)</f>
        <v>1896</v>
      </c>
      <c r="E108">
        <f>IF(settings!$G$4=0,'Student Enrollment Data'!AY109,'Student Enrollment Data'!CL109)</f>
        <v>543</v>
      </c>
      <c r="F108">
        <f>IF(settings!$G$4=0,'Student Enrollment Data'!AZ109,'Student Enrollment Data'!CM109)</f>
        <v>545</v>
      </c>
      <c r="G108" s="25">
        <f>'Student Enrollment Data'!BK109</f>
        <v>145</v>
      </c>
      <c r="H108">
        <f>'Student Enrollment Data'!BF109</f>
        <v>660</v>
      </c>
      <c r="I108">
        <f>SUM('Student Enrollment Data'!R109:X109,'Student Enrollment Data'!AQ109:AW109)</f>
        <v>19.90588235294118</v>
      </c>
      <c r="J108">
        <f>'Student Enrollment Data'!BS109</f>
        <v>80</v>
      </c>
      <c r="K108">
        <f t="shared" si="12"/>
        <v>189.60000000000002</v>
      </c>
      <c r="M108" s="30">
        <f t="shared" si="17"/>
        <v>1896</v>
      </c>
      <c r="N108" s="30">
        <f>E108*'Front page'!$B$20</f>
        <v>54.300000000000004</v>
      </c>
      <c r="O108" s="30">
        <f>F108*'Front page'!$B$21</f>
        <v>54.5</v>
      </c>
      <c r="P108">
        <f>G108*'Front page'!$B$18</f>
        <v>94.25</v>
      </c>
      <c r="Q108" s="30">
        <f>IF(settings!$B$4=0,Calculations!H108,Calculations!I108) *'Front page'!$B$11</f>
        <v>66</v>
      </c>
      <c r="R108" s="31">
        <f>ROUND(I108*'Front page'!$B$9,2)</f>
        <v>0</v>
      </c>
      <c r="S108" s="30">
        <f>J108*'Front page'!$B$14</f>
        <v>8</v>
      </c>
      <c r="T108" s="103">
        <f>'Front page'!$B$16*Calculations!K108</f>
        <v>3.7920000000000007</v>
      </c>
      <c r="U108" s="103">
        <f>IF(settings!$B$13=0,(Calculations!M108*'District Wealth Adjustment'!M107)-Calculations!M108,0)</f>
        <v>189.60000000000036</v>
      </c>
      <c r="V108" s="185">
        <f>VLOOKUP(B108,'Remote School Building Weight'!$M$2:$P$174,3,FALSE)</f>
        <v>0</v>
      </c>
      <c r="W108" s="25">
        <f>'Small Dist Weight'!V107-Calculations!D108</f>
        <v>11.257931034482908</v>
      </c>
      <c r="X108" s="25">
        <f>IF(settings!$P$9=0,'Large District Weight'!H107*'Large District Weight'!G107,0)</f>
        <v>0</v>
      </c>
      <c r="Y108" s="25">
        <f t="shared" si="13"/>
        <v>2377.6999310344836</v>
      </c>
      <c r="Z108" s="25">
        <f>IF(settings!$F$13=0,'Teacher Exp'!L108,0)</f>
        <v>3.0595060097720679</v>
      </c>
      <c r="AA108" s="25">
        <f t="shared" si="14"/>
        <v>2380.7594370442557</v>
      </c>
      <c r="AC108" s="26">
        <f>'Student Enrollment Data'!BU109</f>
        <v>76</v>
      </c>
      <c r="AD108" s="26">
        <f t="shared" si="15"/>
        <v>189.60000000000002</v>
      </c>
      <c r="AE108" s="26">
        <f>AD108*'Front page'!$B$16</f>
        <v>3.7920000000000007</v>
      </c>
      <c r="AG108" s="6">
        <f>M108*'Front page'!$E$3</f>
        <v>8032956.6271701455</v>
      </c>
      <c r="AH108" s="6">
        <f>N108*'Front page'!$E$3</f>
        <v>230057.77682243616</v>
      </c>
      <c r="AI108" s="6">
        <f>O108*'Front page'!$E$3</f>
        <v>230905.13511644144</v>
      </c>
      <c r="AJ108" s="6">
        <f>P108*'Front page'!$E$3</f>
        <v>399317.59604999272</v>
      </c>
      <c r="AK108" s="6">
        <f>Q108*'Front page'!$E$3</f>
        <v>279628.23702174559</v>
      </c>
      <c r="AL108" s="6">
        <f>S108*'Front page'!$E$3</f>
        <v>33894.331760211586</v>
      </c>
      <c r="AM108" s="5">
        <f>Z108*'Front page'!$E$3</f>
        <v>12962.488964696953</v>
      </c>
      <c r="AN108" s="6">
        <f>T108*'Front page'!$E$3</f>
        <v>16065.913254340294</v>
      </c>
      <c r="AO108" s="6">
        <f>U108*'Front page'!$E$3</f>
        <v>803295.66271701618</v>
      </c>
      <c r="AP108" s="6">
        <f>W108*'Front page'!$E$3</f>
        <v>47697.506177043215</v>
      </c>
      <c r="AQ108" s="6">
        <f>V108*'Front page'!$E$3</f>
        <v>0</v>
      </c>
      <c r="AR108" s="6">
        <f>X108*'Front page'!$E$3</f>
        <v>0</v>
      </c>
      <c r="AS108" s="6">
        <f t="shared" si="16"/>
        <v>10086781.275054071</v>
      </c>
      <c r="AT108" s="7">
        <f>IF(AS108&gt;'Funding Comparison'!D108*(1+'Front page'!$H$10),'Funding Comparison'!D108*(1+'Front page'!$H$10),AS108)</f>
        <v>10086781.275054071</v>
      </c>
    </row>
    <row r="109" spans="1:46">
      <c r="A109" t="str">
        <f t="shared" si="9"/>
        <v>415</v>
      </c>
      <c r="B109">
        <f t="shared" si="11"/>
        <v>415</v>
      </c>
      <c r="C109" s="15" t="s">
        <v>118</v>
      </c>
      <c r="D109">
        <f>IF(settings!$G$4=0,'Student Enrollment Data'!AX110,'Student Enrollment Data'!CK110)</f>
        <v>286.5</v>
      </c>
      <c r="E109">
        <f>IF(settings!$G$4=0,'Student Enrollment Data'!AY110,'Student Enrollment Data'!CL110)</f>
        <v>78.5</v>
      </c>
      <c r="F109">
        <f>IF(settings!$G$4=0,'Student Enrollment Data'!AZ110,'Student Enrollment Data'!CM110)</f>
        <v>81</v>
      </c>
      <c r="G109" s="25">
        <f>'Student Enrollment Data'!BK110</f>
        <v>49</v>
      </c>
      <c r="H109">
        <f>'Student Enrollment Data'!BF110</f>
        <v>207</v>
      </c>
      <c r="I109">
        <f>SUM('Student Enrollment Data'!R110:X110,'Student Enrollment Data'!AQ110:AW110)</f>
        <v>0</v>
      </c>
      <c r="J109">
        <f>'Student Enrollment Data'!BS110</f>
        <v>46</v>
      </c>
      <c r="K109">
        <f t="shared" si="12"/>
        <v>28.650000000000002</v>
      </c>
      <c r="M109" s="30">
        <f t="shared" si="17"/>
        <v>286.5</v>
      </c>
      <c r="N109" s="30">
        <f>E109*'Front page'!$B$20</f>
        <v>7.8500000000000005</v>
      </c>
      <c r="O109" s="30">
        <f>F109*'Front page'!$B$21</f>
        <v>8.1</v>
      </c>
      <c r="P109">
        <f>G109*'Front page'!$B$18</f>
        <v>31.85</v>
      </c>
      <c r="Q109" s="30">
        <f>IF(settings!$B$4=0,Calculations!H109,Calculations!I109) *'Front page'!$B$11</f>
        <v>20.700000000000003</v>
      </c>
      <c r="R109" s="31">
        <f>ROUND(I109*'Front page'!$B$9,2)</f>
        <v>0</v>
      </c>
      <c r="S109" s="30">
        <f>J109*'Front page'!$B$14</f>
        <v>4.6000000000000005</v>
      </c>
      <c r="T109" s="103">
        <f>'Front page'!$B$16*Calculations!K109</f>
        <v>0.57300000000000006</v>
      </c>
      <c r="U109" s="103">
        <f>IF(settings!$B$13=0,(Calculations!M109*'District Wealth Adjustment'!M108)-Calculations!M109,0)</f>
        <v>10.90503214110305</v>
      </c>
      <c r="V109" s="185">
        <f>VLOOKUP(B109,'Remote School Building Weight'!$M$2:$P$174,3,FALSE)</f>
        <v>0</v>
      </c>
      <c r="W109" s="25">
        <f>'Small Dist Weight'!V108-Calculations!D109</f>
        <v>157.32270963949844</v>
      </c>
      <c r="X109" s="25">
        <f>IF(settings!$P$9=0,'Large District Weight'!H108*'Large District Weight'!G108,0)</f>
        <v>0</v>
      </c>
      <c r="Y109" s="25">
        <f t="shared" si="13"/>
        <v>528.40074178060149</v>
      </c>
      <c r="Z109" s="25">
        <f>IF(settings!$F$13=0,'Teacher Exp'!L109,0)</f>
        <v>2.7009769733907323</v>
      </c>
      <c r="AA109" s="25">
        <f t="shared" si="14"/>
        <v>531.10171875399226</v>
      </c>
      <c r="AC109" s="26">
        <f>'Student Enrollment Data'!BU110</f>
        <v>0</v>
      </c>
      <c r="AD109" s="26">
        <f t="shared" si="15"/>
        <v>28.650000000000002</v>
      </c>
      <c r="AE109" s="26">
        <f>AD109*'Front page'!$B$16</f>
        <v>0.57300000000000006</v>
      </c>
      <c r="AG109" s="6">
        <f>M109*'Front page'!$E$3</f>
        <v>1213840.7561625773</v>
      </c>
      <c r="AH109" s="6">
        <f>N109*'Front page'!$E$3</f>
        <v>33258.813039707624</v>
      </c>
      <c r="AI109" s="6">
        <f>O109*'Front page'!$E$3</f>
        <v>34318.01090721423</v>
      </c>
      <c r="AJ109" s="6">
        <f>P109*'Front page'!$E$3</f>
        <v>134941.80832034239</v>
      </c>
      <c r="AK109" s="6">
        <f>Q109*'Front page'!$E$3</f>
        <v>87701.583429547492</v>
      </c>
      <c r="AL109" s="6">
        <f>S109*'Front page'!$E$3</f>
        <v>19489.240762121663</v>
      </c>
      <c r="AM109" s="5">
        <f>Z109*'Front page'!$E$3</f>
        <v>11443.476201599708</v>
      </c>
      <c r="AN109" s="6">
        <f>T109*'Front page'!$E$3</f>
        <v>2427.6815123251549</v>
      </c>
      <c r="AO109" s="6">
        <f>U109*'Front page'!$E$3</f>
        <v>46202.347155789656</v>
      </c>
      <c r="AP109" s="6">
        <f>W109*'Front page'!$E$3</f>
        <v>666543.51424207469</v>
      </c>
      <c r="AQ109" s="6">
        <f>V109*'Front page'!$E$3</f>
        <v>0</v>
      </c>
      <c r="AR109" s="6">
        <f>X109*'Front page'!$E$3</f>
        <v>0</v>
      </c>
      <c r="AS109" s="6">
        <f t="shared" si="16"/>
        <v>2250167.2317332998</v>
      </c>
      <c r="AT109" s="7">
        <f>IF(AS109&gt;'Funding Comparison'!D109*(1+'Front page'!$H$10),'Funding Comparison'!D109*(1+'Front page'!$H$10),AS109)</f>
        <v>2250167.2317332998</v>
      </c>
    </row>
    <row r="110" spans="1:46">
      <c r="A110" t="str">
        <f t="shared" si="9"/>
        <v>416</v>
      </c>
      <c r="B110">
        <f t="shared" si="11"/>
        <v>416</v>
      </c>
      <c r="C110" s="15" t="s">
        <v>119</v>
      </c>
      <c r="D110">
        <f>IF(settings!$G$4=0,'Student Enrollment Data'!AX111,'Student Enrollment Data'!CK111)</f>
        <v>5.5</v>
      </c>
      <c r="E110">
        <f>IF(settings!$G$4=0,'Student Enrollment Data'!AY111,'Student Enrollment Data'!CL111)</f>
        <v>2.5</v>
      </c>
      <c r="F110">
        <f>IF(settings!$G$4=0,'Student Enrollment Data'!AZ111,'Student Enrollment Data'!CM111)</f>
        <v>0</v>
      </c>
      <c r="G110" s="25">
        <f>'Student Enrollment Data'!BK111</f>
        <v>0.94534536405840508</v>
      </c>
      <c r="H110">
        <f>'Student Enrollment Data'!BF111</f>
        <v>6</v>
      </c>
      <c r="I110">
        <f>SUM('Student Enrollment Data'!R111:X111,'Student Enrollment Data'!AQ111:AW111)</f>
        <v>0</v>
      </c>
      <c r="J110">
        <f>'Student Enrollment Data'!BS111</f>
        <v>0</v>
      </c>
      <c r="K110">
        <f t="shared" si="12"/>
        <v>3</v>
      </c>
      <c r="M110" s="30">
        <f t="shared" si="17"/>
        <v>30</v>
      </c>
      <c r="N110" s="30">
        <f>E110*'Front page'!$B$20</f>
        <v>0.25</v>
      </c>
      <c r="O110" s="30">
        <f>F110*'Front page'!$B$21</f>
        <v>0</v>
      </c>
      <c r="P110">
        <f>G110*'Front page'!$B$18</f>
        <v>0.61447448663796334</v>
      </c>
      <c r="Q110" s="30">
        <f>IF(settings!$B$4=0,Calculations!H110,Calculations!I110) *'Front page'!$B$11</f>
        <v>0.60000000000000009</v>
      </c>
      <c r="R110" s="31">
        <f>ROUND(I110*'Front page'!$B$9,2)</f>
        <v>0</v>
      </c>
      <c r="S110" s="30">
        <f>J110*'Front page'!$B$14</f>
        <v>0</v>
      </c>
      <c r="T110" s="103">
        <f>'Front page'!$B$16*Calculations!K110</f>
        <v>0.06</v>
      </c>
      <c r="U110" s="103">
        <f>IF(settings!$B$13=0,(Calculations!M110*'District Wealth Adjustment'!M109)-Calculations!M110,0)</f>
        <v>0</v>
      </c>
      <c r="V110" s="185">
        <f>VLOOKUP(B110,'Remote School Building Weight'!$M$2:$P$174,3,FALSE)</f>
        <v>0</v>
      </c>
      <c r="W110" s="25">
        <f>'Small Dist Weight'!V109-Calculations!D110</f>
        <v>5.7749999999999986</v>
      </c>
      <c r="X110" s="25">
        <f>IF(settings!$P$9=0,'Large District Weight'!H109*'Large District Weight'!G109,0)</f>
        <v>0</v>
      </c>
      <c r="Y110" s="25">
        <f t="shared" si="13"/>
        <v>37.299474486637962</v>
      </c>
      <c r="Z110" s="25">
        <f>IF(settings!$F$13=0,'Teacher Exp'!L110,0)</f>
        <v>0</v>
      </c>
      <c r="AA110" s="25">
        <f t="shared" si="14"/>
        <v>37.299474486637962</v>
      </c>
      <c r="AC110" s="26">
        <f>'Student Enrollment Data'!BU111</f>
        <v>0</v>
      </c>
      <c r="AD110" s="26">
        <f t="shared" si="15"/>
        <v>3</v>
      </c>
      <c r="AE110" s="26">
        <f>AD110*'Front page'!$B$16</f>
        <v>0.06</v>
      </c>
      <c r="AG110" s="6">
        <f>M110*'Front page'!$E$3</f>
        <v>127103.74410079344</v>
      </c>
      <c r="AH110" s="6">
        <f>N110*'Front page'!$E$3</f>
        <v>1059.1978675066121</v>
      </c>
      <c r="AI110" s="6">
        <f>O110*'Front page'!$E$3</f>
        <v>0</v>
      </c>
      <c r="AJ110" s="6">
        <f>P110*'Front page'!$E$3</f>
        <v>2603.4002635366037</v>
      </c>
      <c r="AK110" s="6">
        <f>Q110*'Front page'!$E$3</f>
        <v>2542.0748820158692</v>
      </c>
      <c r="AL110" s="6">
        <f>S110*'Front page'!$E$3</f>
        <v>0</v>
      </c>
      <c r="AM110" s="5">
        <f>Z110*'Front page'!$E$3</f>
        <v>0</v>
      </c>
      <c r="AN110" s="6">
        <f>T110*'Front page'!$E$3</f>
        <v>254.2074882015869</v>
      </c>
      <c r="AO110" s="6">
        <f>U110*'Front page'!$E$3</f>
        <v>0</v>
      </c>
      <c r="AP110" s="6">
        <f>W110*'Front page'!$E$3</f>
        <v>24467.470739402732</v>
      </c>
      <c r="AQ110" s="6">
        <f>V110*'Front page'!$E$3</f>
        <v>0</v>
      </c>
      <c r="AR110" s="6">
        <f>X110*'Front page'!$E$3</f>
        <v>0</v>
      </c>
      <c r="AS110" s="6">
        <f t="shared" si="16"/>
        <v>158030.09534145682</v>
      </c>
      <c r="AT110" s="7">
        <f>IF(AS110&gt;'Funding Comparison'!D110*(1+'Front page'!$H$10),'Funding Comparison'!D110*(1+'Front page'!$H$10),AS110)</f>
        <v>158030.09534145682</v>
      </c>
    </row>
    <row r="111" spans="1:46">
      <c r="A111" t="str">
        <f t="shared" si="9"/>
        <v>417</v>
      </c>
      <c r="B111">
        <f t="shared" si="11"/>
        <v>417</v>
      </c>
      <c r="C111" s="15" t="s">
        <v>120</v>
      </c>
      <c r="D111">
        <f>IF(settings!$G$4=0,'Student Enrollment Data'!AX112,'Student Enrollment Data'!CK112)</f>
        <v>338</v>
      </c>
      <c r="E111">
        <f>IF(settings!$G$4=0,'Student Enrollment Data'!AY112,'Student Enrollment Data'!CL112)</f>
        <v>100</v>
      </c>
      <c r="F111">
        <f>IF(settings!$G$4=0,'Student Enrollment Data'!AZ112,'Student Enrollment Data'!CM112)</f>
        <v>100</v>
      </c>
      <c r="G111" s="25">
        <f>'Student Enrollment Data'!BK112</f>
        <v>19</v>
      </c>
      <c r="H111">
        <f>'Student Enrollment Data'!BF112</f>
        <v>226</v>
      </c>
      <c r="I111">
        <f>SUM('Student Enrollment Data'!R112:X112,'Student Enrollment Data'!AQ112:AW112)</f>
        <v>0</v>
      </c>
      <c r="J111">
        <f>'Student Enrollment Data'!BS112</f>
        <v>48</v>
      </c>
      <c r="K111">
        <f t="shared" si="12"/>
        <v>33.800000000000004</v>
      </c>
      <c r="M111" s="30">
        <f t="shared" si="17"/>
        <v>338</v>
      </c>
      <c r="N111" s="30">
        <f>E111*'Front page'!$B$20</f>
        <v>10</v>
      </c>
      <c r="O111" s="30">
        <f>F111*'Front page'!$B$21</f>
        <v>10</v>
      </c>
      <c r="P111">
        <f>G111*'Front page'!$B$18</f>
        <v>12.35</v>
      </c>
      <c r="Q111" s="30">
        <f>IF(settings!$B$4=0,Calculations!H111,Calculations!I111) *'Front page'!$B$11</f>
        <v>22.6</v>
      </c>
      <c r="R111" s="31">
        <f>ROUND(I111*'Front page'!$B$9,2)</f>
        <v>0</v>
      </c>
      <c r="S111" s="30">
        <f>J111*'Front page'!$B$14</f>
        <v>4.8000000000000007</v>
      </c>
      <c r="T111" s="103">
        <f>'Front page'!$B$16*Calculations!K111</f>
        <v>0.67600000000000005</v>
      </c>
      <c r="U111" s="103">
        <f>IF(settings!$B$13=0,(Calculations!M111*'District Wealth Adjustment'!M110)-Calculations!M111,0)</f>
        <v>33.800000000000011</v>
      </c>
      <c r="V111" s="185">
        <f>VLOOKUP(B111,'Remote School Building Weight'!$M$2:$P$174,3,FALSE)</f>
        <v>0</v>
      </c>
      <c r="W111" s="25">
        <f>'Small Dist Weight'!V110-Calculations!D111</f>
        <v>165.7093103448276</v>
      </c>
      <c r="X111" s="25">
        <f>IF(settings!$P$9=0,'Large District Weight'!H110*'Large District Weight'!G110,0)</f>
        <v>0</v>
      </c>
      <c r="Y111" s="25">
        <f t="shared" si="13"/>
        <v>597.93531034482771</v>
      </c>
      <c r="Z111" s="25">
        <f>IF(settings!$F$13=0,'Teacher Exp'!L111,0)</f>
        <v>12.511729450681598</v>
      </c>
      <c r="AA111" s="25">
        <f t="shared" si="14"/>
        <v>610.44703979550934</v>
      </c>
      <c r="AC111" s="26">
        <f>'Student Enrollment Data'!BU112</f>
        <v>0</v>
      </c>
      <c r="AD111" s="26">
        <f t="shared" si="15"/>
        <v>33.800000000000004</v>
      </c>
      <c r="AE111" s="26">
        <f>AD111*'Front page'!$B$16</f>
        <v>0.67600000000000005</v>
      </c>
      <c r="AG111" s="6">
        <f>M111*'Front page'!$E$3</f>
        <v>1432035.5168689394</v>
      </c>
      <c r="AH111" s="6">
        <f>N111*'Front page'!$E$3</f>
        <v>42367.914700264482</v>
      </c>
      <c r="AI111" s="6">
        <f>O111*'Front page'!$E$3</f>
        <v>42367.914700264482</v>
      </c>
      <c r="AJ111" s="6">
        <f>P111*'Front page'!$E$3</f>
        <v>52324.374654826635</v>
      </c>
      <c r="AK111" s="6">
        <f>Q111*'Front page'!$E$3</f>
        <v>95751.487222597731</v>
      </c>
      <c r="AL111" s="6">
        <f>S111*'Front page'!$E$3</f>
        <v>20336.599056126954</v>
      </c>
      <c r="AM111" s="5">
        <f>Z111*'Front page'!$E$3</f>
        <v>53009.588611926491</v>
      </c>
      <c r="AN111" s="6">
        <f>T111*'Front page'!$E$3</f>
        <v>2864.0710337378791</v>
      </c>
      <c r="AO111" s="6">
        <f>U111*'Front page'!$E$3</f>
        <v>143203.551686894</v>
      </c>
      <c r="AP111" s="6">
        <f>W111*'Front page'!$E$3</f>
        <v>702075.79257293104</v>
      </c>
      <c r="AQ111" s="6">
        <f>V111*'Front page'!$E$3</f>
        <v>0</v>
      </c>
      <c r="AR111" s="6">
        <f>X111*'Front page'!$E$3</f>
        <v>0</v>
      </c>
      <c r="AS111" s="6">
        <f t="shared" si="16"/>
        <v>2586336.8111085091</v>
      </c>
      <c r="AT111" s="7">
        <f>IF(AS111&gt;'Funding Comparison'!D111*(1+'Front page'!$H$10),'Funding Comparison'!D111*(1+'Front page'!$H$10),AS111)</f>
        <v>2361048.1387499995</v>
      </c>
    </row>
    <row r="112" spans="1:46">
      <c r="A112" t="str">
        <f t="shared" si="9"/>
        <v>418</v>
      </c>
      <c r="B112">
        <f t="shared" si="11"/>
        <v>418</v>
      </c>
      <c r="C112" s="15" t="s">
        <v>121</v>
      </c>
      <c r="D112">
        <f>IF(settings!$G$4=0,'Student Enrollment Data'!AX113,'Student Enrollment Data'!CK113)</f>
        <v>343</v>
      </c>
      <c r="E112">
        <f>IF(settings!$G$4=0,'Student Enrollment Data'!AY113,'Student Enrollment Data'!CL113)</f>
        <v>113</v>
      </c>
      <c r="F112">
        <f>IF(settings!$G$4=0,'Student Enrollment Data'!AZ113,'Student Enrollment Data'!CM113)</f>
        <v>84</v>
      </c>
      <c r="G112" s="25">
        <f>'Student Enrollment Data'!BK113</f>
        <v>31</v>
      </c>
      <c r="H112">
        <f>'Student Enrollment Data'!BF113</f>
        <v>237</v>
      </c>
      <c r="I112">
        <f>SUM('Student Enrollment Data'!R113:X113,'Student Enrollment Data'!AQ113:AW113)</f>
        <v>0</v>
      </c>
      <c r="J112">
        <f>'Student Enrollment Data'!BS113</f>
        <v>50</v>
      </c>
      <c r="K112">
        <f t="shared" si="12"/>
        <v>34.300000000000004</v>
      </c>
      <c r="M112" s="30">
        <f t="shared" si="17"/>
        <v>343</v>
      </c>
      <c r="N112" s="30">
        <f>E112*'Front page'!$B$20</f>
        <v>11.3</v>
      </c>
      <c r="O112" s="30">
        <f>F112*'Front page'!$B$21</f>
        <v>8.4</v>
      </c>
      <c r="P112">
        <f>G112*'Front page'!$B$18</f>
        <v>20.150000000000002</v>
      </c>
      <c r="Q112" s="30">
        <f>IF(settings!$B$4=0,Calculations!H112,Calculations!I112) *'Front page'!$B$11</f>
        <v>23.700000000000003</v>
      </c>
      <c r="R112" s="31">
        <f>ROUND(I112*'Front page'!$B$9,2)</f>
        <v>0</v>
      </c>
      <c r="S112" s="30">
        <f>J112*'Front page'!$B$14</f>
        <v>5</v>
      </c>
      <c r="T112" s="103">
        <f>'Front page'!$B$16*Calculations!K112</f>
        <v>0.68600000000000005</v>
      </c>
      <c r="U112" s="103">
        <f>IF(settings!$B$13=0,(Calculations!M112*'District Wealth Adjustment'!M111)-Calculations!M112,0)</f>
        <v>34.300000000000011</v>
      </c>
      <c r="V112" s="185">
        <f>VLOOKUP(B112,'Remote School Building Weight'!$M$2:$P$174,3,FALSE)</f>
        <v>0</v>
      </c>
      <c r="W112" s="25">
        <f>'Small Dist Weight'!V111-Calculations!D112</f>
        <v>145.55221786833863</v>
      </c>
      <c r="X112" s="25">
        <f>IF(settings!$P$9=0,'Large District Weight'!H111*'Large District Weight'!G111,0)</f>
        <v>0</v>
      </c>
      <c r="Y112" s="25">
        <f t="shared" si="13"/>
        <v>592.08821786833857</v>
      </c>
      <c r="Z112" s="25">
        <f>IF(settings!$F$13=0,'Teacher Exp'!L112,0)</f>
        <v>0</v>
      </c>
      <c r="AA112" s="25">
        <f t="shared" si="14"/>
        <v>592.08821786833857</v>
      </c>
      <c r="AC112" s="26">
        <f>'Student Enrollment Data'!BU113</f>
        <v>31</v>
      </c>
      <c r="AD112" s="26">
        <f t="shared" si="15"/>
        <v>34.300000000000004</v>
      </c>
      <c r="AE112" s="26">
        <f>AD112*'Front page'!$B$16</f>
        <v>0.68600000000000005</v>
      </c>
      <c r="AG112" s="6">
        <f>M112*'Front page'!$E$3</f>
        <v>1453219.4742190717</v>
      </c>
      <c r="AH112" s="6">
        <f>N112*'Front page'!$E$3</f>
        <v>47875.743611298865</v>
      </c>
      <c r="AI112" s="6">
        <f>O112*'Front page'!$E$3</f>
        <v>35589.048348222168</v>
      </c>
      <c r="AJ112" s="6">
        <f>P112*'Front page'!$E$3</f>
        <v>85371.348121032934</v>
      </c>
      <c r="AK112" s="6">
        <f>Q112*'Front page'!$E$3</f>
        <v>100411.95783962683</v>
      </c>
      <c r="AL112" s="6">
        <f>S112*'Front page'!$E$3</f>
        <v>21183.957350132241</v>
      </c>
      <c r="AM112" s="5">
        <f>Z112*'Front page'!$E$3</f>
        <v>0</v>
      </c>
      <c r="AN112" s="6">
        <f>T112*'Front page'!$E$3</f>
        <v>2906.4389484381436</v>
      </c>
      <c r="AO112" s="6">
        <f>U112*'Front page'!$E$3</f>
        <v>145321.94742190721</v>
      </c>
      <c r="AP112" s="6">
        <f>W112*'Front page'!$E$3</f>
        <v>616674.39510800829</v>
      </c>
      <c r="AQ112" s="6">
        <f>V112*'Front page'!$E$3</f>
        <v>0</v>
      </c>
      <c r="AR112" s="6">
        <f>X112*'Front page'!$E$3</f>
        <v>0</v>
      </c>
      <c r="AS112" s="6">
        <f t="shared" si="16"/>
        <v>2508554.3109677383</v>
      </c>
      <c r="AT112" s="7">
        <f>IF(AS112&gt;'Funding Comparison'!D112*(1+'Front page'!$H$10),'Funding Comparison'!D112*(1+'Front page'!$H$10),AS112)</f>
        <v>2478110.2744999998</v>
      </c>
    </row>
    <row r="113" spans="1:46">
      <c r="A113" t="str">
        <f t="shared" si="9"/>
        <v>421</v>
      </c>
      <c r="B113">
        <f t="shared" si="11"/>
        <v>421</v>
      </c>
      <c r="C113" s="15" t="s">
        <v>122</v>
      </c>
      <c r="D113">
        <f>IF(settings!$G$4=0,'Student Enrollment Data'!AX114,'Student Enrollment Data'!CK114)</f>
        <v>1229</v>
      </c>
      <c r="E113">
        <f>IF(settings!$G$4=0,'Student Enrollment Data'!AY114,'Student Enrollment Data'!CL114)</f>
        <v>321</v>
      </c>
      <c r="F113">
        <f>IF(settings!$G$4=0,'Student Enrollment Data'!AZ114,'Student Enrollment Data'!CM114)</f>
        <v>383</v>
      </c>
      <c r="G113" s="25">
        <f>'Student Enrollment Data'!BK114</f>
        <v>129</v>
      </c>
      <c r="H113">
        <f>'Student Enrollment Data'!BF114</f>
        <v>323</v>
      </c>
      <c r="I113">
        <f>SUM('Student Enrollment Data'!R114:X114,'Student Enrollment Data'!AQ114:AW114)</f>
        <v>18.829257142857152</v>
      </c>
      <c r="J113">
        <f>'Student Enrollment Data'!BS114</f>
        <v>43</v>
      </c>
      <c r="K113">
        <f t="shared" si="12"/>
        <v>122.9</v>
      </c>
      <c r="M113" s="30">
        <f t="shared" si="17"/>
        <v>1229</v>
      </c>
      <c r="N113" s="30">
        <f>E113*'Front page'!$B$20</f>
        <v>32.1</v>
      </c>
      <c r="O113" s="30">
        <f>F113*'Front page'!$B$21</f>
        <v>38.300000000000004</v>
      </c>
      <c r="P113">
        <f>G113*'Front page'!$B$18</f>
        <v>83.850000000000009</v>
      </c>
      <c r="Q113" s="30">
        <f>IF(settings!$B$4=0,Calculations!H113,Calculations!I113) *'Front page'!$B$11</f>
        <v>32.300000000000004</v>
      </c>
      <c r="R113" s="31">
        <f>ROUND(I113*'Front page'!$B$9,2)</f>
        <v>0</v>
      </c>
      <c r="S113" s="30">
        <f>J113*'Front page'!$B$14</f>
        <v>4.3</v>
      </c>
      <c r="T113" s="103">
        <f>'Front page'!$B$16*Calculations!K113</f>
        <v>2.4580000000000002</v>
      </c>
      <c r="U113" s="103">
        <f>IF(settings!$B$13=0,(Calculations!M113*'District Wealth Adjustment'!M112)-Calculations!M113,0)</f>
        <v>0</v>
      </c>
      <c r="V113" s="185">
        <f>VLOOKUP(B113,'Remote School Building Weight'!$M$2:$P$174,3,FALSE)</f>
        <v>47.456426908108227</v>
      </c>
      <c r="W113" s="25">
        <f>'Small Dist Weight'!V112-Calculations!D113</f>
        <v>102.19034482758616</v>
      </c>
      <c r="X113" s="25">
        <f>IF(settings!$P$9=0,'Large District Weight'!H112*'Large District Weight'!G112,0)</f>
        <v>0</v>
      </c>
      <c r="Y113" s="25">
        <f t="shared" si="13"/>
        <v>1571.9547717356941</v>
      </c>
      <c r="Z113" s="25">
        <f>IF(settings!$F$13=0,'Teacher Exp'!L113,0)</f>
        <v>35.227141147864096</v>
      </c>
      <c r="AA113" s="25">
        <f t="shared" si="14"/>
        <v>1607.1819128835582</v>
      </c>
      <c r="AC113" s="26">
        <f>'Student Enrollment Data'!BU114</f>
        <v>47</v>
      </c>
      <c r="AD113" s="26">
        <f t="shared" si="15"/>
        <v>122.9</v>
      </c>
      <c r="AE113" s="26">
        <f>AD113*'Front page'!$B$16</f>
        <v>2.4580000000000002</v>
      </c>
      <c r="AG113" s="6">
        <f>M113*'Front page'!$E$3</f>
        <v>5207016.7166625047</v>
      </c>
      <c r="AH113" s="6">
        <f>N113*'Front page'!$E$3</f>
        <v>136001.00618784898</v>
      </c>
      <c r="AI113" s="6">
        <f>O113*'Front page'!$E$3</f>
        <v>162269.11330201299</v>
      </c>
      <c r="AJ113" s="6">
        <f>P113*'Front page'!$E$3</f>
        <v>355254.96476171771</v>
      </c>
      <c r="AK113" s="6">
        <f>Q113*'Front page'!$E$3</f>
        <v>136848.36448185428</v>
      </c>
      <c r="AL113" s="6">
        <f>S113*'Front page'!$E$3</f>
        <v>18218.203321113728</v>
      </c>
      <c r="AM113" s="5">
        <f>Z113*'Front page'!$E$3</f>
        <v>149250.0511286883</v>
      </c>
      <c r="AN113" s="6">
        <f>T113*'Front page'!$E$3</f>
        <v>10414.03343332501</v>
      </c>
      <c r="AO113" s="6">
        <f>U113*'Front page'!$E$3</f>
        <v>0</v>
      </c>
      <c r="AP113" s="6">
        <f>W113*'Front page'!$E$3</f>
        <v>432959.1812845784</v>
      </c>
      <c r="AQ113" s="6">
        <f>V113*'Front page'!$E$3</f>
        <v>201062.98472220654</v>
      </c>
      <c r="AR113" s="6">
        <f>X113*'Front page'!$E$3</f>
        <v>0</v>
      </c>
      <c r="AS113" s="6">
        <f t="shared" si="16"/>
        <v>6809294.6192858508</v>
      </c>
      <c r="AT113" s="7">
        <f>IF(AS113&gt;'Funding Comparison'!D113*(1+'Front page'!$H$10),'Funding Comparison'!D113*(1+'Front page'!$H$10),AS113)</f>
        <v>6809294.6192858508</v>
      </c>
    </row>
    <row r="114" spans="1:46">
      <c r="A114" t="str">
        <f t="shared" si="9"/>
        <v>422</v>
      </c>
      <c r="B114">
        <f t="shared" si="11"/>
        <v>422</v>
      </c>
      <c r="C114" s="15" t="s">
        <v>123</v>
      </c>
      <c r="D114">
        <f>IF(settings!$G$4=0,'Student Enrollment Data'!AX115,'Student Enrollment Data'!CK115)</f>
        <v>209</v>
      </c>
      <c r="E114">
        <f>IF(settings!$G$4=0,'Student Enrollment Data'!AY115,'Student Enrollment Data'!CL115)</f>
        <v>50</v>
      </c>
      <c r="F114">
        <f>IF(settings!$G$4=0,'Student Enrollment Data'!AZ115,'Student Enrollment Data'!CM115)</f>
        <v>81</v>
      </c>
      <c r="G114" s="25">
        <f>'Student Enrollment Data'!BK115</f>
        <v>40</v>
      </c>
      <c r="H114">
        <f>'Student Enrollment Data'!BF115</f>
        <v>90</v>
      </c>
      <c r="I114">
        <f>SUM('Student Enrollment Data'!R115:X115,'Student Enrollment Data'!AQ115:AW115)</f>
        <v>0</v>
      </c>
      <c r="J114">
        <f>'Student Enrollment Data'!BS115</f>
        <v>0</v>
      </c>
      <c r="K114">
        <f t="shared" si="12"/>
        <v>20.900000000000002</v>
      </c>
      <c r="M114" s="30">
        <f t="shared" si="17"/>
        <v>209</v>
      </c>
      <c r="N114" s="30">
        <f>E114*'Front page'!$B$20</f>
        <v>5</v>
      </c>
      <c r="O114" s="30">
        <f>F114*'Front page'!$B$21</f>
        <v>8.1</v>
      </c>
      <c r="P114">
        <f>G114*'Front page'!$B$18</f>
        <v>26</v>
      </c>
      <c r="Q114" s="30">
        <f>IF(settings!$B$4=0,Calculations!H114,Calculations!I114) *'Front page'!$B$11</f>
        <v>9</v>
      </c>
      <c r="R114" s="31">
        <f>ROUND(I114*'Front page'!$B$9,2)</f>
        <v>0</v>
      </c>
      <c r="S114" s="30">
        <f>J114*'Front page'!$B$14</f>
        <v>0</v>
      </c>
      <c r="T114" s="103">
        <f>'Front page'!$B$16*Calculations!K114</f>
        <v>0.41800000000000004</v>
      </c>
      <c r="U114" s="103">
        <f>IF(settings!$B$13=0,(Calculations!M114*'District Wealth Adjustment'!M113)-Calculations!M114,0)</f>
        <v>0</v>
      </c>
      <c r="V114" s="185">
        <f>VLOOKUP(B114,'Remote School Building Weight'!$M$2:$P$174,3,FALSE)</f>
        <v>0</v>
      </c>
      <c r="W114" s="25">
        <f>'Small Dist Weight'!V113-Calculations!D114</f>
        <v>152.34825235109719</v>
      </c>
      <c r="X114" s="25">
        <f>IF(settings!$P$9=0,'Large District Weight'!H113*'Large District Weight'!G113,0)</f>
        <v>0</v>
      </c>
      <c r="Y114" s="25">
        <f t="shared" si="13"/>
        <v>409.86625235109722</v>
      </c>
      <c r="Z114" s="25">
        <f>IF(settings!$F$13=0,'Teacher Exp'!L114,0)</f>
        <v>0</v>
      </c>
      <c r="AA114" s="25">
        <f t="shared" si="14"/>
        <v>409.86625235109722</v>
      </c>
      <c r="AC114" s="26">
        <f>'Student Enrollment Data'!BU115</f>
        <v>0</v>
      </c>
      <c r="AD114" s="26">
        <f t="shared" si="15"/>
        <v>20.900000000000002</v>
      </c>
      <c r="AE114" s="26">
        <f>AD114*'Front page'!$B$16</f>
        <v>0.41800000000000004</v>
      </c>
      <c r="AG114" s="6">
        <f>M114*'Front page'!$E$3</f>
        <v>885489.41723552765</v>
      </c>
      <c r="AH114" s="6">
        <f>N114*'Front page'!$E$3</f>
        <v>21183.957350132241</v>
      </c>
      <c r="AI114" s="6">
        <f>O114*'Front page'!$E$3</f>
        <v>34318.01090721423</v>
      </c>
      <c r="AJ114" s="6">
        <f>P114*'Front page'!$E$3</f>
        <v>110156.57822068766</v>
      </c>
      <c r="AK114" s="6">
        <f>Q114*'Front page'!$E$3</f>
        <v>38131.123230238038</v>
      </c>
      <c r="AL114" s="6">
        <f>S114*'Front page'!$E$3</f>
        <v>0</v>
      </c>
      <c r="AM114" s="5">
        <f>Z114*'Front page'!$E$3</f>
        <v>0</v>
      </c>
      <c r="AN114" s="6">
        <f>T114*'Front page'!$E$3</f>
        <v>1770.9788344710555</v>
      </c>
      <c r="AO114" s="6">
        <f>U114*'Front page'!$E$3</f>
        <v>0</v>
      </c>
      <c r="AP114" s="6">
        <f>W114*'Front page'!$E$3</f>
        <v>645467.77603456529</v>
      </c>
      <c r="AQ114" s="6">
        <f>V114*'Front page'!$E$3</f>
        <v>0</v>
      </c>
      <c r="AR114" s="6">
        <f>X114*'Front page'!$E$3</f>
        <v>0</v>
      </c>
      <c r="AS114" s="6">
        <f t="shared" si="16"/>
        <v>1736517.841812836</v>
      </c>
      <c r="AT114" s="7">
        <f>IF(AS114&gt;'Funding Comparison'!D114*(1+'Front page'!$H$10),'Funding Comparison'!D114*(1+'Front page'!$H$10),AS114)</f>
        <v>1736517.841812836</v>
      </c>
    </row>
    <row r="115" spans="1:46">
      <c r="A115" t="str">
        <f t="shared" si="9"/>
        <v>431</v>
      </c>
      <c r="B115">
        <f t="shared" si="11"/>
        <v>431</v>
      </c>
      <c r="C115" s="15" t="s">
        <v>124</v>
      </c>
      <c r="D115">
        <f>IF(settings!$G$4=0,'Student Enrollment Data'!AX116,'Student Enrollment Data'!CK116)</f>
        <v>1511</v>
      </c>
      <c r="E115">
        <f>IF(settings!$G$4=0,'Student Enrollment Data'!AY116,'Student Enrollment Data'!CL116)</f>
        <v>379</v>
      </c>
      <c r="F115">
        <f>IF(settings!$G$4=0,'Student Enrollment Data'!AZ116,'Student Enrollment Data'!CM116)</f>
        <v>523</v>
      </c>
      <c r="G115" s="25">
        <f>'Student Enrollment Data'!BK116</f>
        <v>155</v>
      </c>
      <c r="H115">
        <f>'Student Enrollment Data'!BF116</f>
        <v>694</v>
      </c>
      <c r="I115">
        <f>SUM('Student Enrollment Data'!R116:X116,'Student Enrollment Data'!AQ116:AW116)</f>
        <v>59.924207162774501</v>
      </c>
      <c r="J115">
        <f>'Student Enrollment Data'!BS116</f>
        <v>217</v>
      </c>
      <c r="K115">
        <f t="shared" si="12"/>
        <v>151.1</v>
      </c>
      <c r="M115" s="30">
        <f t="shared" si="17"/>
        <v>1511</v>
      </c>
      <c r="N115" s="30">
        <f>E115*'Front page'!$B$20</f>
        <v>37.9</v>
      </c>
      <c r="O115" s="30">
        <f>F115*'Front page'!$B$21</f>
        <v>52.300000000000004</v>
      </c>
      <c r="P115">
        <f>G115*'Front page'!$B$18</f>
        <v>100.75</v>
      </c>
      <c r="Q115" s="30">
        <f>IF(settings!$B$4=0,Calculations!H115,Calculations!I115) *'Front page'!$B$11</f>
        <v>69.400000000000006</v>
      </c>
      <c r="R115" s="31">
        <f>ROUND(I115*'Front page'!$B$9,2)</f>
        <v>0</v>
      </c>
      <c r="S115" s="30">
        <f>J115*'Front page'!$B$14</f>
        <v>21.700000000000003</v>
      </c>
      <c r="T115" s="103">
        <f>'Front page'!$B$16*Calculations!K115</f>
        <v>3.0219999999999998</v>
      </c>
      <c r="U115" s="103">
        <f>IF(settings!$B$13=0,(Calculations!M115*'District Wealth Adjustment'!M114)-Calculations!M115,0)</f>
        <v>151.10000000000014</v>
      </c>
      <c r="V115" s="185">
        <f>VLOOKUP(B115,'Remote School Building Weight'!$M$2:$P$174,3,FALSE)</f>
        <v>0</v>
      </c>
      <c r="W115" s="25">
        <f>'Small Dist Weight'!V114-Calculations!D115</f>
        <v>37.708879310344855</v>
      </c>
      <c r="X115" s="25">
        <f>IF(settings!$P$9=0,'Large District Weight'!H114*'Large District Weight'!G114,0)</f>
        <v>0</v>
      </c>
      <c r="Y115" s="25">
        <f t="shared" si="13"/>
        <v>1984.8808793103451</v>
      </c>
      <c r="Z115" s="25">
        <f>IF(settings!$F$13=0,'Teacher Exp'!L115,0)</f>
        <v>22.392828592415039</v>
      </c>
      <c r="AA115" s="25">
        <f t="shared" si="14"/>
        <v>2007.2737079027602</v>
      </c>
      <c r="AC115" s="26">
        <f>'Student Enrollment Data'!BU116</f>
        <v>0</v>
      </c>
      <c r="AD115" s="26">
        <f t="shared" si="15"/>
        <v>151.1</v>
      </c>
      <c r="AE115" s="26">
        <f>AD115*'Front page'!$B$16</f>
        <v>3.0219999999999998</v>
      </c>
      <c r="AG115" s="6">
        <f>M115*'Front page'!$E$3</f>
        <v>6401791.9112099633</v>
      </c>
      <c r="AH115" s="6">
        <f>N115*'Front page'!$E$3</f>
        <v>160574.39671400239</v>
      </c>
      <c r="AI115" s="6">
        <f>O115*'Front page'!$E$3</f>
        <v>221584.19388238326</v>
      </c>
      <c r="AJ115" s="6">
        <f>P115*'Front page'!$E$3</f>
        <v>426856.74060516467</v>
      </c>
      <c r="AK115" s="6">
        <f>Q115*'Front page'!$E$3</f>
        <v>294033.32801983552</v>
      </c>
      <c r="AL115" s="6">
        <f>S115*'Front page'!$E$3</f>
        <v>91938.374899573944</v>
      </c>
      <c r="AM115" s="5">
        <f>Z115*'Front page'!$E$3</f>
        <v>94873.745170108392</v>
      </c>
      <c r="AN115" s="6">
        <f>T115*'Front page'!$E$3</f>
        <v>12803.583822419925</v>
      </c>
      <c r="AO115" s="6">
        <f>U115*'Front page'!$E$3</f>
        <v>640179.19112099695</v>
      </c>
      <c r="AP115" s="6">
        <f>W115*'Front page'!$E$3</f>
        <v>159764.6582063259</v>
      </c>
      <c r="AQ115" s="6">
        <f>V115*'Front page'!$E$3</f>
        <v>0</v>
      </c>
      <c r="AR115" s="6">
        <f>X115*'Front page'!$E$3</f>
        <v>0</v>
      </c>
      <c r="AS115" s="6">
        <f t="shared" si="16"/>
        <v>8504400.1236507744</v>
      </c>
      <c r="AT115" s="7">
        <f>IF(AS115&gt;'Funding Comparison'!D115*(1+'Front page'!$H$10),'Funding Comparison'!D115*(1+'Front page'!$H$10),AS115)</f>
        <v>8504400.1236507744</v>
      </c>
    </row>
    <row r="116" spans="1:46">
      <c r="A116" t="str">
        <f t="shared" si="9"/>
        <v>432</v>
      </c>
      <c r="B116">
        <f t="shared" si="11"/>
        <v>432</v>
      </c>
      <c r="C116" s="15" t="s">
        <v>125</v>
      </c>
      <c r="D116">
        <f>IF(settings!$G$4=0,'Student Enrollment Data'!AX117,'Student Enrollment Data'!CK117)</f>
        <v>114</v>
      </c>
      <c r="E116">
        <f>IF(settings!$G$4=0,'Student Enrollment Data'!AY117,'Student Enrollment Data'!CL117)</f>
        <v>29</v>
      </c>
      <c r="F116">
        <f>IF(settings!$G$4=0,'Student Enrollment Data'!AZ117,'Student Enrollment Data'!CM117)</f>
        <v>33</v>
      </c>
      <c r="G116" s="25">
        <f>'Student Enrollment Data'!BK117</f>
        <v>24</v>
      </c>
      <c r="H116">
        <f>'Student Enrollment Data'!BF117</f>
        <v>49.88</v>
      </c>
      <c r="I116">
        <f>SUM('Student Enrollment Data'!R117:X117,'Student Enrollment Data'!AQ117:AW117)</f>
        <v>0</v>
      </c>
      <c r="J116">
        <f>'Student Enrollment Data'!BS117</f>
        <v>0</v>
      </c>
      <c r="K116">
        <f t="shared" si="12"/>
        <v>11.4</v>
      </c>
      <c r="M116" s="30">
        <f t="shared" si="17"/>
        <v>114</v>
      </c>
      <c r="N116" s="30">
        <f>E116*'Front page'!$B$20</f>
        <v>2.9000000000000004</v>
      </c>
      <c r="O116" s="30">
        <f>F116*'Front page'!$B$21</f>
        <v>3.3000000000000003</v>
      </c>
      <c r="P116">
        <f>G116*'Front page'!$B$18</f>
        <v>15.600000000000001</v>
      </c>
      <c r="Q116" s="30">
        <f>IF(settings!$B$4=0,Calculations!H116,Calculations!I116) *'Front page'!$B$11</f>
        <v>4.9880000000000004</v>
      </c>
      <c r="R116" s="31">
        <f>ROUND(I116*'Front page'!$B$9,2)</f>
        <v>0</v>
      </c>
      <c r="S116" s="30">
        <f>J116*'Front page'!$B$14</f>
        <v>0</v>
      </c>
      <c r="T116" s="103">
        <f>'Front page'!$B$16*Calculations!K116</f>
        <v>0.22800000000000001</v>
      </c>
      <c r="U116" s="103">
        <f>IF(settings!$B$13=0,(Calculations!M116*'District Wealth Adjustment'!M115)-Calculations!M116,0)</f>
        <v>0</v>
      </c>
      <c r="V116" s="185">
        <f>VLOOKUP(B116,'Remote School Building Weight'!$M$2:$P$174,3,FALSE)</f>
        <v>0</v>
      </c>
      <c r="W116" s="25">
        <f>'Small Dist Weight'!V115-Calculations!D116</f>
        <v>183.1035971786834</v>
      </c>
      <c r="X116" s="25">
        <f>IF(settings!$P$9=0,'Large District Weight'!H115*'Large District Weight'!G115,0)</f>
        <v>0</v>
      </c>
      <c r="Y116" s="25">
        <f t="shared" si="13"/>
        <v>324.11959717868342</v>
      </c>
      <c r="Z116" s="25">
        <f>IF(settings!$F$13=0,'Teacher Exp'!L116,0)</f>
        <v>0</v>
      </c>
      <c r="AA116" s="25">
        <f t="shared" si="14"/>
        <v>324.11959717868342</v>
      </c>
      <c r="AC116" s="26">
        <f>'Student Enrollment Data'!BU117</f>
        <v>0</v>
      </c>
      <c r="AD116" s="26">
        <f t="shared" si="15"/>
        <v>11.4</v>
      </c>
      <c r="AE116" s="26">
        <f>AD116*'Front page'!$B$16</f>
        <v>0.22800000000000001</v>
      </c>
      <c r="AG116" s="6">
        <f>M116*'Front page'!$E$3</f>
        <v>482994.2275830151</v>
      </c>
      <c r="AH116" s="6">
        <f>N116*'Front page'!$E$3</f>
        <v>12286.695263076701</v>
      </c>
      <c r="AI116" s="6">
        <f>O116*'Front page'!$E$3</f>
        <v>13981.41185108728</v>
      </c>
      <c r="AJ116" s="6">
        <f>P116*'Front page'!$E$3</f>
        <v>66093.946932412597</v>
      </c>
      <c r="AK116" s="6">
        <f>Q116*'Front page'!$E$3</f>
        <v>21133.115852491926</v>
      </c>
      <c r="AL116" s="6">
        <f>S116*'Front page'!$E$3</f>
        <v>0</v>
      </c>
      <c r="AM116" s="5">
        <f>Z116*'Front page'!$E$3</f>
        <v>0</v>
      </c>
      <c r="AN116" s="6">
        <f>T116*'Front page'!$E$3</f>
        <v>965.98845516603023</v>
      </c>
      <c r="AO116" s="6">
        <f>U116*'Front page'!$E$3</f>
        <v>0</v>
      </c>
      <c r="AP116" s="6">
        <f>W116*'Front page'!$E$3</f>
        <v>775771.75865780469</v>
      </c>
      <c r="AQ116" s="6">
        <f>V116*'Front page'!$E$3</f>
        <v>0</v>
      </c>
      <c r="AR116" s="6">
        <f>X116*'Front page'!$E$3</f>
        <v>0</v>
      </c>
      <c r="AS116" s="6">
        <f t="shared" si="16"/>
        <v>1373227.1445950544</v>
      </c>
      <c r="AT116" s="7">
        <f>IF(AS116&gt;'Funding Comparison'!D116*(1+'Front page'!$H$10),'Funding Comparison'!D116*(1+'Front page'!$H$10),AS116)</f>
        <v>1373227.1445950544</v>
      </c>
    </row>
    <row r="117" spans="1:46">
      <c r="A117" t="str">
        <f t="shared" si="9"/>
        <v>433</v>
      </c>
      <c r="B117">
        <f t="shared" si="11"/>
        <v>433</v>
      </c>
      <c r="C117" s="15" t="s">
        <v>126</v>
      </c>
      <c r="D117">
        <f>IF(settings!$G$4=0,'Student Enrollment Data'!AX118,'Student Enrollment Data'!CK118)</f>
        <v>111</v>
      </c>
      <c r="E117">
        <f>IF(settings!$G$4=0,'Student Enrollment Data'!AY118,'Student Enrollment Data'!CL118)</f>
        <v>20</v>
      </c>
      <c r="F117">
        <f>IF(settings!$G$4=0,'Student Enrollment Data'!AZ118,'Student Enrollment Data'!CM118)</f>
        <v>40</v>
      </c>
      <c r="G117" s="25">
        <f>'Student Enrollment Data'!BK118</f>
        <v>13</v>
      </c>
      <c r="H117">
        <f>'Student Enrollment Data'!BF118</f>
        <v>49.45</v>
      </c>
      <c r="I117">
        <f>SUM('Student Enrollment Data'!R118:X118,'Student Enrollment Data'!AQ118:AW118)</f>
        <v>13.277886341181755</v>
      </c>
      <c r="J117">
        <f>'Student Enrollment Data'!BS118</f>
        <v>0</v>
      </c>
      <c r="K117">
        <f t="shared" si="12"/>
        <v>11.100000000000001</v>
      </c>
      <c r="M117" s="30">
        <f t="shared" si="17"/>
        <v>111</v>
      </c>
      <c r="N117" s="30">
        <f>E117*'Front page'!$B$20</f>
        <v>2</v>
      </c>
      <c r="O117" s="30">
        <f>F117*'Front page'!$B$21</f>
        <v>4</v>
      </c>
      <c r="P117">
        <f>G117*'Front page'!$B$18</f>
        <v>8.4500000000000011</v>
      </c>
      <c r="Q117" s="30">
        <f>IF(settings!$B$4=0,Calculations!H117,Calculations!I117) *'Front page'!$B$11</f>
        <v>4.9450000000000003</v>
      </c>
      <c r="R117" s="31">
        <f>ROUND(I117*'Front page'!$B$9,2)</f>
        <v>0</v>
      </c>
      <c r="S117" s="30">
        <f>J117*'Front page'!$B$14</f>
        <v>0</v>
      </c>
      <c r="T117" s="103">
        <f>'Front page'!$B$16*Calculations!K117</f>
        <v>0.22200000000000003</v>
      </c>
      <c r="U117" s="103">
        <f>IF(settings!$B$13=0,(Calculations!M117*'District Wealth Adjustment'!M116)-Calculations!M117,0)</f>
        <v>0</v>
      </c>
      <c r="V117" s="185">
        <f>VLOOKUP(B117,'Remote School Building Weight'!$M$2:$P$174,3,FALSE)</f>
        <v>0</v>
      </c>
      <c r="W117" s="25">
        <f>'Small Dist Weight'!V116-Calculations!D117</f>
        <v>171.13996081504706</v>
      </c>
      <c r="X117" s="25">
        <f>IF(settings!$P$9=0,'Large District Weight'!H116*'Large District Weight'!G116,0)</f>
        <v>0</v>
      </c>
      <c r="Y117" s="25">
        <f t="shared" si="13"/>
        <v>301.75696081504708</v>
      </c>
      <c r="Z117" s="25">
        <f>IF(settings!$F$13=0,'Teacher Exp'!L117,0)</f>
        <v>2.8522021872201067</v>
      </c>
      <c r="AA117" s="25">
        <f t="shared" si="14"/>
        <v>304.60916300226717</v>
      </c>
      <c r="AC117" s="26">
        <f>'Student Enrollment Data'!BU118</f>
        <v>8</v>
      </c>
      <c r="AD117" s="26">
        <f t="shared" si="15"/>
        <v>11.100000000000001</v>
      </c>
      <c r="AE117" s="26">
        <f>AD117*'Front page'!$B$16</f>
        <v>0.22200000000000003</v>
      </c>
      <c r="AG117" s="6">
        <f>M117*'Front page'!$E$3</f>
        <v>470283.85317293578</v>
      </c>
      <c r="AH117" s="6">
        <f>N117*'Front page'!$E$3</f>
        <v>8473.5829400528964</v>
      </c>
      <c r="AI117" s="6">
        <f>O117*'Front page'!$E$3</f>
        <v>16947.165880105793</v>
      </c>
      <c r="AJ117" s="6">
        <f>P117*'Front page'!$E$3</f>
        <v>35800.887921723493</v>
      </c>
      <c r="AK117" s="6">
        <f>Q117*'Front page'!$E$3</f>
        <v>20950.933819280788</v>
      </c>
      <c r="AL117" s="6">
        <f>S117*'Front page'!$E$3</f>
        <v>0</v>
      </c>
      <c r="AM117" s="5">
        <f>Z117*'Front page'!$E$3</f>
        <v>12084.185897604926</v>
      </c>
      <c r="AN117" s="6">
        <f>T117*'Front page'!$E$3</f>
        <v>940.56770634587167</v>
      </c>
      <c r="AO117" s="6">
        <f>U117*'Front page'!$E$3</f>
        <v>0</v>
      </c>
      <c r="AP117" s="6">
        <f>W117*'Front page'!$E$3</f>
        <v>725084.32616185199</v>
      </c>
      <c r="AQ117" s="6">
        <f>V117*'Front page'!$E$3</f>
        <v>0</v>
      </c>
      <c r="AR117" s="6">
        <f>X117*'Front page'!$E$3</f>
        <v>0</v>
      </c>
      <c r="AS117" s="6">
        <f t="shared" si="16"/>
        <v>1290565.5034999016</v>
      </c>
      <c r="AT117" s="7">
        <f>IF(AS117&gt;'Funding Comparison'!D117*(1+'Front page'!$H$10),'Funding Comparison'!D117*(1+'Front page'!$H$10),AS117)</f>
        <v>1290565.5034999016</v>
      </c>
    </row>
    <row r="118" spans="1:46" s="30" customFormat="1">
      <c r="A118" s="30" t="str">
        <f t="shared" si="9"/>
        <v>451</v>
      </c>
      <c r="B118" s="30">
        <f t="shared" si="11"/>
        <v>451</v>
      </c>
      <c r="C118" s="16" t="s">
        <v>127</v>
      </c>
      <c r="D118">
        <f>IF(settings!$G$4=0,'Student Enrollment Data'!AX119,'Student Enrollment Data'!CK119)</f>
        <v>394</v>
      </c>
      <c r="E118">
        <f>IF(settings!$G$4=0,'Student Enrollment Data'!AY119,'Student Enrollment Data'!CL119)</f>
        <v>99</v>
      </c>
      <c r="F118">
        <f>IF(settings!$G$4=0,'Student Enrollment Data'!AZ119,'Student Enrollment Data'!CM119)</f>
        <v>141</v>
      </c>
      <c r="G118" s="31">
        <f>'Student Enrollment Data'!BK119</f>
        <v>9</v>
      </c>
      <c r="H118" s="30">
        <f>'Student Enrollment Data'!BF119</f>
        <v>141</v>
      </c>
      <c r="I118">
        <f>SUM('Student Enrollment Data'!R119:X119,'Student Enrollment Data'!AQ119:AW119)</f>
        <v>0</v>
      </c>
      <c r="J118" s="30">
        <f>'Student Enrollment Data'!BS119</f>
        <v>0</v>
      </c>
      <c r="K118">
        <f t="shared" si="12"/>
        <v>39.400000000000006</v>
      </c>
      <c r="L118" s="28"/>
      <c r="M118" s="30">
        <f t="shared" si="17"/>
        <v>394</v>
      </c>
      <c r="N118" s="30">
        <f>E118*'Front page'!$B$20</f>
        <v>9.9</v>
      </c>
      <c r="O118" s="30">
        <f>F118*'Front page'!$B$21</f>
        <v>14.100000000000001</v>
      </c>
      <c r="P118">
        <f>G118*'Front page'!$B$18</f>
        <v>5.8500000000000005</v>
      </c>
      <c r="Q118" s="30">
        <f>IF(settings!$B$4=0,Calculations!H118,Calculations!I118) *'Front page'!$B$11</f>
        <v>14.100000000000001</v>
      </c>
      <c r="R118" s="31">
        <f>ROUND(I118*'Front page'!$B$9,2)</f>
        <v>0</v>
      </c>
      <c r="S118" s="30">
        <f>J118*'Front page'!$B$14</f>
        <v>0</v>
      </c>
      <c r="T118" s="103">
        <f>'Front page'!$B$16*Calculations!K118</f>
        <v>0.78800000000000014</v>
      </c>
      <c r="U118" s="103">
        <f>IF(settings!$B$13=0,(Calculations!M118*'District Wealth Adjustment'!M117)-Calculations!M118,0)</f>
        <v>0</v>
      </c>
      <c r="V118" s="185">
        <f>VLOOKUP(B118,'Remote School Building Weight'!$M$2:$P$174,3,FALSE)</f>
        <v>0</v>
      </c>
      <c r="W118" s="25">
        <f>'Small Dist Weight'!V117-Calculations!D118</f>
        <v>180.3834169278997</v>
      </c>
      <c r="X118" s="25">
        <f>IF(settings!$P$9=0,'Large District Weight'!H117*'Large District Weight'!G117,0)</f>
        <v>0</v>
      </c>
      <c r="Y118" s="25">
        <f t="shared" si="13"/>
        <v>619.12141692789976</v>
      </c>
      <c r="Z118" s="25">
        <f>IF(settings!$F$13=0,'Teacher Exp'!L118,0)</f>
        <v>14.74692384604799</v>
      </c>
      <c r="AA118" s="25">
        <f t="shared" si="14"/>
        <v>633.86834077394769</v>
      </c>
      <c r="AB118" s="28"/>
      <c r="AC118" s="26">
        <f>'Student Enrollment Data'!BU119</f>
        <v>0</v>
      </c>
      <c r="AD118" s="26">
        <f t="shared" si="15"/>
        <v>39.400000000000006</v>
      </c>
      <c r="AE118" s="26">
        <f>AD118*'Front page'!$B$16</f>
        <v>0.78800000000000014</v>
      </c>
      <c r="AG118" s="6">
        <f>M118*'Front page'!$E$3</f>
        <v>1669295.8391904207</v>
      </c>
      <c r="AH118" s="6">
        <f>N118*'Front page'!$E$3</f>
        <v>41944.235553261839</v>
      </c>
      <c r="AI118" s="6">
        <f>O118*'Front page'!$E$3</f>
        <v>59738.759727372926</v>
      </c>
      <c r="AJ118" s="6">
        <f>P118*'Front page'!$E$3</f>
        <v>24785.230099654724</v>
      </c>
      <c r="AK118" s="6">
        <f>Q118*'Front page'!$E$3</f>
        <v>59738.759727372926</v>
      </c>
      <c r="AL118" s="6">
        <f>S118*'Front page'!$E$3</f>
        <v>0</v>
      </c>
      <c r="AM118" s="5">
        <f>Z118*'Front page'!$E$3</f>
        <v>62479.641160065745</v>
      </c>
      <c r="AN118" s="6">
        <f>T118*'Front page'!$E$3</f>
        <v>3338.591678380842</v>
      </c>
      <c r="AO118" s="6">
        <f>U118*'Front page'!$E$3</f>
        <v>0</v>
      </c>
      <c r="AP118" s="6">
        <f>W118*'Front page'!$E$3</f>
        <v>764246.92217434989</v>
      </c>
      <c r="AQ118" s="6">
        <f>V118*'Front page'!$E$3</f>
        <v>0</v>
      </c>
      <c r="AR118" s="6">
        <f>X118*'Front page'!$E$3</f>
        <v>0</v>
      </c>
      <c r="AS118" s="6">
        <f t="shared" si="16"/>
        <v>2685567.9793108795</v>
      </c>
      <c r="AT118" s="7">
        <f>IF(AS118&gt;'Funding Comparison'!D118*(1+'Front page'!$H$10),'Funding Comparison'!D118*(1+'Front page'!$H$10),AS118)</f>
        <v>2685567.9793108795</v>
      </c>
    </row>
    <row r="119" spans="1:46" s="30" customFormat="1">
      <c r="A119" s="30" t="str">
        <f t="shared" si="9"/>
        <v>452</v>
      </c>
      <c r="B119" s="30">
        <f t="shared" si="11"/>
        <v>452</v>
      </c>
      <c r="C119" s="16" t="s">
        <v>128</v>
      </c>
      <c r="D119">
        <f>IF(settings!$G$4=0,'Student Enrollment Data'!AX120,'Student Enrollment Data'!CK120)</f>
        <v>1751.5</v>
      </c>
      <c r="E119">
        <f>IF(settings!$G$4=0,'Student Enrollment Data'!AY120,'Student Enrollment Data'!CL120)</f>
        <v>266.5</v>
      </c>
      <c r="F119">
        <f>IF(settings!$G$4=0,'Student Enrollment Data'!AZ120,'Student Enrollment Data'!CM120)</f>
        <v>731</v>
      </c>
      <c r="G119" s="31">
        <f>'Student Enrollment Data'!BK120</f>
        <v>253</v>
      </c>
      <c r="H119" s="30">
        <f>'Student Enrollment Data'!BF120</f>
        <v>973</v>
      </c>
      <c r="I119">
        <f>SUM('Student Enrollment Data'!R120:X120,'Student Enrollment Data'!AQ120:AW120)</f>
        <v>219.27913220040583</v>
      </c>
      <c r="J119" s="30">
        <f>'Student Enrollment Data'!BS120</f>
        <v>6</v>
      </c>
      <c r="K119">
        <f t="shared" si="12"/>
        <v>175.15</v>
      </c>
      <c r="L119" s="28"/>
      <c r="M119" s="30">
        <f t="shared" si="17"/>
        <v>1751.5</v>
      </c>
      <c r="N119" s="30">
        <f>E119*'Front page'!$B$20</f>
        <v>26.650000000000002</v>
      </c>
      <c r="O119" s="30">
        <f>F119*'Front page'!$B$21</f>
        <v>73.100000000000009</v>
      </c>
      <c r="P119">
        <f>G119*'Front page'!$B$18</f>
        <v>164.45000000000002</v>
      </c>
      <c r="Q119" s="30">
        <f>IF(settings!$B$4=0,Calculations!H119,Calculations!I119) *'Front page'!$B$11</f>
        <v>97.300000000000011</v>
      </c>
      <c r="R119" s="31">
        <f>ROUND(I119*'Front page'!$B$9,2)</f>
        <v>0</v>
      </c>
      <c r="S119" s="30">
        <f>J119*'Front page'!$B$14</f>
        <v>0.60000000000000009</v>
      </c>
      <c r="T119" s="103">
        <f>'Front page'!$B$16*Calculations!K119</f>
        <v>3.5030000000000001</v>
      </c>
      <c r="U119" s="103">
        <f>IF(settings!$B$13=0,(Calculations!M119*'District Wealth Adjustment'!M118)-Calculations!M119,0)</f>
        <v>0</v>
      </c>
      <c r="V119" s="185">
        <f>VLOOKUP(B119,'Remote School Building Weight'!$M$2:$P$174,3,FALSE)</f>
        <v>0</v>
      </c>
      <c r="W119" s="25">
        <f>'Small Dist Weight'!V118-Calculations!D119</f>
        <v>0</v>
      </c>
      <c r="X119" s="25">
        <f>IF(settings!$P$9=0,'Large District Weight'!H118*'Large District Weight'!G118,0)</f>
        <v>0</v>
      </c>
      <c r="Y119" s="25">
        <f t="shared" si="13"/>
        <v>2117.1030000000001</v>
      </c>
      <c r="Z119" s="25">
        <f>IF(settings!$F$13=0,'Teacher Exp'!L119,0)</f>
        <v>35.515101644872232</v>
      </c>
      <c r="AA119" s="25">
        <f t="shared" si="14"/>
        <v>2152.6181016448722</v>
      </c>
      <c r="AB119" s="28"/>
      <c r="AC119" s="26">
        <f>'Student Enrollment Data'!BU120</f>
        <v>101</v>
      </c>
      <c r="AD119" s="26">
        <f t="shared" si="15"/>
        <v>175.15</v>
      </c>
      <c r="AE119" s="26">
        <f>AD119*'Front page'!$B$16</f>
        <v>3.5030000000000001</v>
      </c>
      <c r="AG119" s="6">
        <f>M119*'Front page'!$E$3</f>
        <v>7420740.2597513236</v>
      </c>
      <c r="AH119" s="6">
        <f>N119*'Front page'!$E$3</f>
        <v>112910.49267620486</v>
      </c>
      <c r="AI119" s="6">
        <f>O119*'Front page'!$E$3</f>
        <v>309709.45645893342</v>
      </c>
      <c r="AJ119" s="6">
        <f>P119*'Front page'!$E$3</f>
        <v>696740.35724584945</v>
      </c>
      <c r="AK119" s="6">
        <f>Q119*'Front page'!$E$3</f>
        <v>412239.81003357348</v>
      </c>
      <c r="AL119" s="6">
        <f>S119*'Front page'!$E$3</f>
        <v>2542.0748820158692</v>
      </c>
      <c r="AM119" s="5">
        <f>Z119*'Front page'!$E$3</f>
        <v>150470.07970611696</v>
      </c>
      <c r="AN119" s="6">
        <f>T119*'Front page'!$E$3</f>
        <v>14841.480519502649</v>
      </c>
      <c r="AO119" s="6">
        <f>U119*'Front page'!$E$3</f>
        <v>0</v>
      </c>
      <c r="AP119" s="6">
        <f>W119*'Front page'!$E$3</f>
        <v>0</v>
      </c>
      <c r="AQ119" s="6">
        <f>V119*'Front page'!$E$3</f>
        <v>0</v>
      </c>
      <c r="AR119" s="6">
        <f>X119*'Front page'!$E$3</f>
        <v>0</v>
      </c>
      <c r="AS119" s="6">
        <f t="shared" si="16"/>
        <v>9120194.0112735201</v>
      </c>
      <c r="AT119" s="7">
        <f>IF(AS119&gt;'Funding Comparison'!D119*(1+'Front page'!$H$10),'Funding Comparison'!D119*(1+'Front page'!$H$10),AS119)</f>
        <v>9120194.0112735201</v>
      </c>
    </row>
    <row r="120" spans="1:46" s="30" customFormat="1">
      <c r="A120" s="30" t="str">
        <f t="shared" si="9"/>
        <v>453</v>
      </c>
      <c r="B120" s="30">
        <f t="shared" si="11"/>
        <v>453</v>
      </c>
      <c r="C120" s="16" t="s">
        <v>129</v>
      </c>
      <c r="D120">
        <f>IF(settings!$G$4=0,'Student Enrollment Data'!AX121,'Student Enrollment Data'!CK121)</f>
        <v>446.5</v>
      </c>
      <c r="E120">
        <f>IF(settings!$G$4=0,'Student Enrollment Data'!AY121,'Student Enrollment Data'!CL121)</f>
        <v>83.5</v>
      </c>
      <c r="F120">
        <f>IF(settings!$G$4=0,'Student Enrollment Data'!AZ121,'Student Enrollment Data'!CM121)</f>
        <v>363</v>
      </c>
      <c r="G120" s="31">
        <f>'Student Enrollment Data'!BK121</f>
        <v>13</v>
      </c>
      <c r="H120" s="30">
        <f>'Student Enrollment Data'!BF121</f>
        <v>106</v>
      </c>
      <c r="I120">
        <f>SUM('Student Enrollment Data'!R121:X121,'Student Enrollment Data'!AQ121:AW121)</f>
        <v>373.29970727241601</v>
      </c>
      <c r="J120" s="30">
        <f>'Student Enrollment Data'!BS121</f>
        <v>0</v>
      </c>
      <c r="K120">
        <f t="shared" si="12"/>
        <v>44.650000000000006</v>
      </c>
      <c r="L120" s="28"/>
      <c r="M120" s="30">
        <f t="shared" si="17"/>
        <v>446.5</v>
      </c>
      <c r="N120" s="30">
        <f>E120*'Front page'!$B$20</f>
        <v>8.35</v>
      </c>
      <c r="O120" s="30">
        <f>F120*'Front page'!$B$21</f>
        <v>36.300000000000004</v>
      </c>
      <c r="P120">
        <f>G120*'Front page'!$B$18</f>
        <v>8.4500000000000011</v>
      </c>
      <c r="Q120" s="30">
        <f>IF(settings!$B$4=0,Calculations!H120,Calculations!I120) *'Front page'!$B$11</f>
        <v>10.600000000000001</v>
      </c>
      <c r="R120" s="31">
        <f>ROUND(I120*'Front page'!$B$9,2)</f>
        <v>0</v>
      </c>
      <c r="S120" s="30">
        <f>J120*'Front page'!$B$14</f>
        <v>0</v>
      </c>
      <c r="T120" s="103">
        <f>'Front page'!$B$16*Calculations!K120</f>
        <v>0.89300000000000013</v>
      </c>
      <c r="U120" s="103">
        <f>IF(settings!$B$13=0,(Calculations!M120*'District Wealth Adjustment'!M119)-Calculations!M120,0)</f>
        <v>0</v>
      </c>
      <c r="V120" s="185">
        <f>VLOOKUP(B120,'Remote School Building Weight'!$M$2:$P$174,3,FALSE)</f>
        <v>0</v>
      </c>
      <c r="W120" s="25">
        <f>'Small Dist Weight'!V119-Calculations!D120</f>
        <v>197.0010246865204</v>
      </c>
      <c r="X120" s="25">
        <f>IF(settings!$P$9=0,'Large District Weight'!H119*'Large District Weight'!G119,0)</f>
        <v>0</v>
      </c>
      <c r="Y120" s="25">
        <f t="shared" si="13"/>
        <v>708.09402468652047</v>
      </c>
      <c r="Z120" s="25">
        <f>IF(settings!$F$13=0,'Teacher Exp'!L120,0)</f>
        <v>21.288934498042721</v>
      </c>
      <c r="AA120" s="25">
        <f t="shared" si="14"/>
        <v>729.38295918456322</v>
      </c>
      <c r="AB120" s="28"/>
      <c r="AC120" s="26">
        <f>'Student Enrollment Data'!BU121</f>
        <v>0</v>
      </c>
      <c r="AD120" s="26">
        <f t="shared" si="15"/>
        <v>44.650000000000006</v>
      </c>
      <c r="AE120" s="26">
        <f>AD120*'Front page'!$B$16</f>
        <v>0.89300000000000013</v>
      </c>
      <c r="AG120" s="6">
        <f>M120*'Front page'!$E$3</f>
        <v>1891727.3913668091</v>
      </c>
      <c r="AH120" s="6">
        <f>N120*'Front page'!$E$3</f>
        <v>35377.208774720842</v>
      </c>
      <c r="AI120" s="6">
        <f>O120*'Front page'!$E$3</f>
        <v>153795.53036196009</v>
      </c>
      <c r="AJ120" s="6">
        <f>P120*'Front page'!$E$3</f>
        <v>35800.887921723493</v>
      </c>
      <c r="AK120" s="6">
        <f>Q120*'Front page'!$E$3</f>
        <v>44909.989582280359</v>
      </c>
      <c r="AL120" s="6">
        <f>S120*'Front page'!$E$3</f>
        <v>0</v>
      </c>
      <c r="AM120" s="5">
        <f>Z120*'Front page'!$E$3</f>
        <v>90196.77608725919</v>
      </c>
      <c r="AN120" s="6">
        <f>T120*'Front page'!$E$3</f>
        <v>3783.4547827336187</v>
      </c>
      <c r="AO120" s="6">
        <f>U120*'Front page'!$E$3</f>
        <v>0</v>
      </c>
      <c r="AP120" s="6">
        <f>W120*'Front page'!$E$3</f>
        <v>834652.26097831933</v>
      </c>
      <c r="AQ120" s="6">
        <f>V120*'Front page'!$E$3</f>
        <v>0</v>
      </c>
      <c r="AR120" s="6">
        <f>X120*'Front page'!$E$3</f>
        <v>0</v>
      </c>
      <c r="AS120" s="6">
        <f t="shared" si="16"/>
        <v>3090243.4998558061</v>
      </c>
      <c r="AT120" s="7">
        <f>IF(AS120&gt;'Funding Comparison'!D120*(1+'Front page'!$H$10),'Funding Comparison'!D120*(1+'Front page'!$H$10),AS120)</f>
        <v>3090243.4998558061</v>
      </c>
    </row>
    <row r="121" spans="1:46" s="30" customFormat="1">
      <c r="A121" s="30" t="str">
        <f t="shared" si="9"/>
        <v>454</v>
      </c>
      <c r="B121" s="30">
        <f t="shared" si="11"/>
        <v>454</v>
      </c>
      <c r="C121" s="16" t="s">
        <v>130</v>
      </c>
      <c r="D121">
        <f>IF(settings!$G$4=0,'Student Enrollment Data'!AX122,'Student Enrollment Data'!CK122)</f>
        <v>234.5</v>
      </c>
      <c r="E121">
        <f>IF(settings!$G$4=0,'Student Enrollment Data'!AY122,'Student Enrollment Data'!CL122)</f>
        <v>91.5</v>
      </c>
      <c r="F121">
        <f>IF(settings!$G$4=0,'Student Enrollment Data'!AZ122,'Student Enrollment Data'!CM122)</f>
        <v>0</v>
      </c>
      <c r="G121" s="31">
        <f>'Student Enrollment Data'!BK122</f>
        <v>32</v>
      </c>
      <c r="H121" s="30">
        <f>'Student Enrollment Data'!BF122</f>
        <v>66</v>
      </c>
      <c r="I121">
        <f>SUM('Student Enrollment Data'!R122:X122,'Student Enrollment Data'!AQ122:AW122)</f>
        <v>0</v>
      </c>
      <c r="J121" s="30">
        <f>'Student Enrollment Data'!BS122</f>
        <v>7</v>
      </c>
      <c r="K121">
        <f t="shared" si="12"/>
        <v>23.450000000000003</v>
      </c>
      <c r="L121" s="28"/>
      <c r="M121" s="30">
        <f t="shared" si="17"/>
        <v>234.5</v>
      </c>
      <c r="N121" s="30">
        <f>E121*'Front page'!$B$20</f>
        <v>9.15</v>
      </c>
      <c r="O121" s="30">
        <f>F121*'Front page'!$B$21</f>
        <v>0</v>
      </c>
      <c r="P121">
        <f>G121*'Front page'!$B$18</f>
        <v>20.8</v>
      </c>
      <c r="Q121" s="30">
        <f>IF(settings!$B$4=0,Calculations!H121,Calculations!I121) *'Front page'!$B$11</f>
        <v>6.6000000000000005</v>
      </c>
      <c r="R121" s="31">
        <f>ROUND(I121*'Front page'!$B$9,2)</f>
        <v>0</v>
      </c>
      <c r="S121" s="30">
        <f>J121*'Front page'!$B$14</f>
        <v>0.70000000000000007</v>
      </c>
      <c r="T121" s="103">
        <f>'Front page'!$B$16*Calculations!K121</f>
        <v>0.46900000000000008</v>
      </c>
      <c r="U121" s="103">
        <f>IF(settings!$B$13=0,(Calculations!M121*'District Wealth Adjustment'!M120)-Calculations!M121,0)</f>
        <v>0</v>
      </c>
      <c r="V121" s="185">
        <f>VLOOKUP(B121,'Remote School Building Weight'!$M$2:$P$174,3,FALSE)</f>
        <v>0</v>
      </c>
      <c r="W121" s="25">
        <f>'Small Dist Weight'!V120-Calculations!D121</f>
        <v>92.530111677115997</v>
      </c>
      <c r="X121" s="25">
        <f>IF(settings!$P$9=0,'Large District Weight'!H120*'Large District Weight'!G120,0)</f>
        <v>0</v>
      </c>
      <c r="Y121" s="25">
        <f t="shared" si="13"/>
        <v>364.74911167711599</v>
      </c>
      <c r="Z121" s="25">
        <f>IF(settings!$F$13=0,'Teacher Exp'!L121,0)</f>
        <v>0</v>
      </c>
      <c r="AA121" s="25">
        <f t="shared" si="14"/>
        <v>364.74911167711599</v>
      </c>
      <c r="AB121" s="28"/>
      <c r="AC121" s="26">
        <f>'Student Enrollment Data'!BU122</f>
        <v>0</v>
      </c>
      <c r="AD121" s="26">
        <f t="shared" si="15"/>
        <v>23.450000000000003</v>
      </c>
      <c r="AE121" s="26">
        <f>AD121*'Front page'!$B$16</f>
        <v>0.46900000000000008</v>
      </c>
      <c r="AG121" s="6">
        <f>M121*'Front page'!$E$3</f>
        <v>993527.59972120216</v>
      </c>
      <c r="AH121" s="6">
        <f>N121*'Front page'!$E$3</f>
        <v>38766.641950742</v>
      </c>
      <c r="AI121" s="6">
        <f>O121*'Front page'!$E$3</f>
        <v>0</v>
      </c>
      <c r="AJ121" s="6">
        <f>P121*'Front page'!$E$3</f>
        <v>88125.262576550129</v>
      </c>
      <c r="AK121" s="6">
        <f>Q121*'Front page'!$E$3</f>
        <v>27962.823702174559</v>
      </c>
      <c r="AL121" s="6">
        <f>S121*'Front page'!$E$3</f>
        <v>2965.7540290185138</v>
      </c>
      <c r="AM121" s="5">
        <f>Z121*'Front page'!$E$3</f>
        <v>0</v>
      </c>
      <c r="AN121" s="6">
        <f>T121*'Front page'!$E$3</f>
        <v>1987.0551994424045</v>
      </c>
      <c r="AO121" s="6">
        <f>U121*'Front page'!$E$3</f>
        <v>0</v>
      </c>
      <c r="AP121" s="6">
        <f>W121*'Front page'!$E$3</f>
        <v>392030.78787419968</v>
      </c>
      <c r="AQ121" s="6">
        <f>V121*'Front page'!$E$3</f>
        <v>0</v>
      </c>
      <c r="AR121" s="6">
        <f>X121*'Front page'!$E$3</f>
        <v>0</v>
      </c>
      <c r="AS121" s="6">
        <f t="shared" si="16"/>
        <v>1545365.9250533294</v>
      </c>
      <c r="AT121" s="7">
        <f>IF(AS121&gt;'Funding Comparison'!D121*(1+'Front page'!$H$10),'Funding Comparison'!D121*(1+'Front page'!$H$10),AS121)</f>
        <v>1545365.9250533294</v>
      </c>
    </row>
    <row r="122" spans="1:46" s="30" customFormat="1">
      <c r="A122" s="30" t="str">
        <f t="shared" si="9"/>
        <v>455</v>
      </c>
      <c r="B122" s="30">
        <f t="shared" si="11"/>
        <v>455</v>
      </c>
      <c r="C122" s="16" t="s">
        <v>131</v>
      </c>
      <c r="D122">
        <f>IF(settings!$G$4=0,'Student Enrollment Data'!AX123,'Student Enrollment Data'!CK123)</f>
        <v>1033.5</v>
      </c>
      <c r="E122">
        <f>IF(settings!$G$4=0,'Student Enrollment Data'!AY123,'Student Enrollment Data'!CL123)</f>
        <v>332.5</v>
      </c>
      <c r="F122">
        <f>IF(settings!$G$4=0,'Student Enrollment Data'!AZ123,'Student Enrollment Data'!CM123)</f>
        <v>216</v>
      </c>
      <c r="G122" s="31">
        <f>'Student Enrollment Data'!BK123</f>
        <v>29</v>
      </c>
      <c r="H122" s="30">
        <f>'Student Enrollment Data'!BF123</f>
        <v>152</v>
      </c>
      <c r="I122">
        <f>SUM('Student Enrollment Data'!R123:X123,'Student Enrollment Data'!AQ123:AW123)</f>
        <v>0</v>
      </c>
      <c r="J122" s="30">
        <f>'Student Enrollment Data'!BS123</f>
        <v>15</v>
      </c>
      <c r="K122">
        <f t="shared" si="12"/>
        <v>103.35000000000001</v>
      </c>
      <c r="L122" s="28"/>
      <c r="M122" s="30">
        <f t="shared" si="17"/>
        <v>1033.5</v>
      </c>
      <c r="N122" s="30">
        <f>E122*'Front page'!$B$20</f>
        <v>33.25</v>
      </c>
      <c r="O122" s="30">
        <f>F122*'Front page'!$B$21</f>
        <v>21.6</v>
      </c>
      <c r="P122">
        <f>G122*'Front page'!$B$18</f>
        <v>18.850000000000001</v>
      </c>
      <c r="Q122" s="30">
        <f>IF(settings!$B$4=0,Calculations!H122,Calculations!I122) *'Front page'!$B$11</f>
        <v>15.200000000000001</v>
      </c>
      <c r="R122" s="31">
        <f>ROUND(I122*'Front page'!$B$9,2)</f>
        <v>0</v>
      </c>
      <c r="S122" s="30">
        <f>J122*'Front page'!$B$14</f>
        <v>1.5</v>
      </c>
      <c r="T122" s="103">
        <f>'Front page'!$B$16*Calculations!K122</f>
        <v>2.0670000000000002</v>
      </c>
      <c r="U122" s="103">
        <f>IF(settings!$B$13=0,(Calculations!M122*'District Wealth Adjustment'!M121)-Calculations!M122,0)</f>
        <v>0</v>
      </c>
      <c r="V122" s="185">
        <f>VLOOKUP(B122,'Remote School Building Weight'!$M$2:$P$174,3,FALSE)</f>
        <v>0</v>
      </c>
      <c r="W122" s="25">
        <f>'Small Dist Weight'!V121-Calculations!D122</f>
        <v>129.94474137931047</v>
      </c>
      <c r="X122" s="25">
        <f>IF(settings!$P$9=0,'Large District Weight'!H121*'Large District Weight'!G121,0)</f>
        <v>0</v>
      </c>
      <c r="Y122" s="25">
        <f t="shared" si="13"/>
        <v>1255.9117413793103</v>
      </c>
      <c r="Z122" s="25">
        <f>IF(settings!$F$13=0,'Teacher Exp'!L122,0)</f>
        <v>0</v>
      </c>
      <c r="AA122" s="25">
        <f t="shared" si="14"/>
        <v>1255.9117413793103</v>
      </c>
      <c r="AB122" s="28"/>
      <c r="AC122" s="26">
        <f>'Student Enrollment Data'!BU123</f>
        <v>61</v>
      </c>
      <c r="AD122" s="26">
        <f t="shared" si="15"/>
        <v>103.35000000000001</v>
      </c>
      <c r="AE122" s="26">
        <f>AD122*'Front page'!$B$16</f>
        <v>2.0670000000000002</v>
      </c>
      <c r="AG122" s="6">
        <f>M122*'Front page'!$E$3</f>
        <v>4378723.9842723338</v>
      </c>
      <c r="AH122" s="6">
        <f>N122*'Front page'!$E$3</f>
        <v>140873.31637837942</v>
      </c>
      <c r="AI122" s="6">
        <f>O122*'Front page'!$E$3</f>
        <v>91514.695752571293</v>
      </c>
      <c r="AJ122" s="6">
        <f>P122*'Front page'!$E$3</f>
        <v>79863.519209998558</v>
      </c>
      <c r="AK122" s="6">
        <f>Q122*'Front page'!$E$3</f>
        <v>64399.230344402014</v>
      </c>
      <c r="AL122" s="6">
        <f>S122*'Front page'!$E$3</f>
        <v>6355.1872050396723</v>
      </c>
      <c r="AM122" s="5">
        <f>Z122*'Front page'!$E$3</f>
        <v>0</v>
      </c>
      <c r="AN122" s="6">
        <f>T122*'Front page'!$E$3</f>
        <v>8757.4479685446695</v>
      </c>
      <c r="AO122" s="6">
        <f>U122*'Front page'!$E$3</f>
        <v>0</v>
      </c>
      <c r="AP122" s="6">
        <f>W122*'Front page'!$E$3</f>
        <v>550548.77185065544</v>
      </c>
      <c r="AQ122" s="6">
        <f>V122*'Front page'!$E$3</f>
        <v>0</v>
      </c>
      <c r="AR122" s="6">
        <f>X122*'Front page'!$E$3</f>
        <v>0</v>
      </c>
      <c r="AS122" s="6">
        <f t="shared" si="16"/>
        <v>5321036.1529819248</v>
      </c>
      <c r="AT122" s="7">
        <f>IF(AS122&gt;'Funding Comparison'!D122*(1+'Front page'!$H$10),'Funding Comparison'!D122*(1+'Front page'!$H$10),AS122)</f>
        <v>5175785.4612500006</v>
      </c>
    </row>
    <row r="123" spans="1:46" s="30" customFormat="1">
      <c r="A123" s="30" t="str">
        <f t="shared" si="9"/>
        <v>456</v>
      </c>
      <c r="B123" s="30">
        <f t="shared" si="11"/>
        <v>456</v>
      </c>
      <c r="C123" s="16" t="s">
        <v>132</v>
      </c>
      <c r="D123">
        <f>IF(settings!$G$4=0,'Student Enrollment Data'!AX124,'Student Enrollment Data'!CK124)</f>
        <v>261</v>
      </c>
      <c r="E123">
        <f>IF(settings!$G$4=0,'Student Enrollment Data'!AY124,'Student Enrollment Data'!CL124)</f>
        <v>99</v>
      </c>
      <c r="F123">
        <f>IF(settings!$G$4=0,'Student Enrollment Data'!AZ124,'Student Enrollment Data'!CM124)</f>
        <v>0</v>
      </c>
      <c r="G123" s="31">
        <f>'Student Enrollment Data'!BK124</f>
        <v>10</v>
      </c>
      <c r="H123" s="30">
        <f>'Student Enrollment Data'!BF124</f>
        <v>48</v>
      </c>
      <c r="I123">
        <f>SUM('Student Enrollment Data'!R124:X124,'Student Enrollment Data'!AQ124:AW124)</f>
        <v>0</v>
      </c>
      <c r="J123" s="30">
        <f>'Student Enrollment Data'!BS124</f>
        <v>0</v>
      </c>
      <c r="K123">
        <f t="shared" si="12"/>
        <v>26.1</v>
      </c>
      <c r="L123" s="28"/>
      <c r="M123" s="30">
        <f t="shared" si="17"/>
        <v>261</v>
      </c>
      <c r="N123" s="30">
        <f>E123*'Front page'!$B$20</f>
        <v>9.9</v>
      </c>
      <c r="O123" s="30">
        <f>F123*'Front page'!$B$21</f>
        <v>0</v>
      </c>
      <c r="P123">
        <f>G123*'Front page'!$B$18</f>
        <v>6.5</v>
      </c>
      <c r="Q123" s="30">
        <f>IF(settings!$B$4=0,Calculations!H123,Calculations!I123) *'Front page'!$B$11</f>
        <v>4.8000000000000007</v>
      </c>
      <c r="R123" s="31">
        <f>ROUND(I123*'Front page'!$B$9,2)</f>
        <v>0</v>
      </c>
      <c r="S123" s="30">
        <f>J123*'Front page'!$B$14</f>
        <v>0</v>
      </c>
      <c r="T123" s="103">
        <f>'Front page'!$B$16*Calculations!K123</f>
        <v>0.52200000000000002</v>
      </c>
      <c r="U123" s="103">
        <f>IF(settings!$B$13=0,(Calculations!M123*'District Wealth Adjustment'!M122)-Calculations!M123,0)</f>
        <v>0</v>
      </c>
      <c r="V123" s="185">
        <f>VLOOKUP(B123,'Remote School Building Weight'!$M$2:$P$174,3,FALSE)</f>
        <v>0</v>
      </c>
      <c r="W123" s="25">
        <f>'Small Dist Weight'!V122-Calculations!D123</f>
        <v>100.54474137931038</v>
      </c>
      <c r="X123" s="25">
        <f>IF(settings!$P$9=0,'Large District Weight'!H122*'Large District Weight'!G122,0)</f>
        <v>0</v>
      </c>
      <c r="Y123" s="25">
        <f t="shared" si="13"/>
        <v>383.26674137931036</v>
      </c>
      <c r="Z123" s="25">
        <f>IF(settings!$F$13=0,'Teacher Exp'!L123,0)</f>
        <v>0</v>
      </c>
      <c r="AA123" s="25">
        <f t="shared" si="14"/>
        <v>383.26674137931036</v>
      </c>
      <c r="AB123" s="28"/>
      <c r="AC123" s="26">
        <f>'Student Enrollment Data'!BU124</f>
        <v>0</v>
      </c>
      <c r="AD123" s="26">
        <f t="shared" si="15"/>
        <v>26.1</v>
      </c>
      <c r="AE123" s="26">
        <f>AD123*'Front page'!$B$16</f>
        <v>0.52200000000000002</v>
      </c>
      <c r="AG123" s="6">
        <f>M123*'Front page'!$E$3</f>
        <v>1105802.573676903</v>
      </c>
      <c r="AH123" s="6">
        <f>N123*'Front page'!$E$3</f>
        <v>41944.235553261839</v>
      </c>
      <c r="AI123" s="6">
        <f>O123*'Front page'!$E$3</f>
        <v>0</v>
      </c>
      <c r="AJ123" s="6">
        <f>P123*'Front page'!$E$3</f>
        <v>27539.144555171915</v>
      </c>
      <c r="AK123" s="6">
        <f>Q123*'Front page'!$E$3</f>
        <v>20336.599056126954</v>
      </c>
      <c r="AL123" s="6">
        <f>S123*'Front page'!$E$3</f>
        <v>0</v>
      </c>
      <c r="AM123" s="5">
        <f>Z123*'Front page'!$E$3</f>
        <v>0</v>
      </c>
      <c r="AN123" s="6">
        <f>T123*'Front page'!$E$3</f>
        <v>2211.6051473538059</v>
      </c>
      <c r="AO123" s="6">
        <f>U123*'Front page'!$E$3</f>
        <v>0</v>
      </c>
      <c r="AP123" s="6">
        <f>W123*'Front page'!$E$3</f>
        <v>425987.10263187747</v>
      </c>
      <c r="AQ123" s="6">
        <f>V123*'Front page'!$E$3</f>
        <v>0</v>
      </c>
      <c r="AR123" s="6">
        <f>X123*'Front page'!$E$3</f>
        <v>0</v>
      </c>
      <c r="AS123" s="6">
        <f t="shared" si="16"/>
        <v>1623821.2606206951</v>
      </c>
      <c r="AT123" s="7">
        <f>IF(AS123&gt;'Funding Comparison'!D123*(1+'Front page'!$H$10),'Funding Comparison'!D123*(1+'Front page'!$H$10),AS123)</f>
        <v>1623821.2606206951</v>
      </c>
    </row>
    <row r="124" spans="1:46" s="30" customFormat="1">
      <c r="A124" s="30" t="str">
        <f t="shared" si="9"/>
        <v>457</v>
      </c>
      <c r="B124" s="30">
        <f t="shared" si="11"/>
        <v>457</v>
      </c>
      <c r="C124" s="16" t="s">
        <v>133</v>
      </c>
      <c r="D124">
        <f>IF(settings!$G$4=0,'Student Enrollment Data'!AX125,'Student Enrollment Data'!CK125)</f>
        <v>963.5</v>
      </c>
      <c r="E124">
        <f>IF(settings!$G$4=0,'Student Enrollment Data'!AY125,'Student Enrollment Data'!CL125)</f>
        <v>106.5</v>
      </c>
      <c r="F124">
        <f>IF(settings!$G$4=0,'Student Enrollment Data'!AZ125,'Student Enrollment Data'!CM125)</f>
        <v>480</v>
      </c>
      <c r="G124" s="31">
        <f>'Student Enrollment Data'!BK125</f>
        <v>116</v>
      </c>
      <c r="H124" s="30">
        <f>'Student Enrollment Data'!BF125</f>
        <v>413</v>
      </c>
      <c r="I124">
        <f>SUM('Student Enrollment Data'!R125:X125,'Student Enrollment Data'!AQ125:AW125)</f>
        <v>0</v>
      </c>
      <c r="J124" s="30">
        <f>'Student Enrollment Data'!BS125</f>
        <v>20</v>
      </c>
      <c r="K124">
        <f t="shared" si="12"/>
        <v>96.350000000000009</v>
      </c>
      <c r="L124" s="28"/>
      <c r="M124" s="30">
        <f t="shared" si="17"/>
        <v>963.5</v>
      </c>
      <c r="N124" s="30">
        <f>E124*'Front page'!$B$20</f>
        <v>10.65</v>
      </c>
      <c r="O124" s="30">
        <f>F124*'Front page'!$B$21</f>
        <v>48</v>
      </c>
      <c r="P124">
        <f>G124*'Front page'!$B$18</f>
        <v>75.400000000000006</v>
      </c>
      <c r="Q124" s="30">
        <f>IF(settings!$B$4=0,Calculations!H124,Calculations!I124) *'Front page'!$B$11</f>
        <v>41.300000000000004</v>
      </c>
      <c r="R124" s="31">
        <f>ROUND(I124*'Front page'!$B$9,2)</f>
        <v>0</v>
      </c>
      <c r="S124" s="30">
        <f>J124*'Front page'!$B$14</f>
        <v>2</v>
      </c>
      <c r="T124" s="103">
        <f>'Front page'!$B$16*Calculations!K124</f>
        <v>1.9270000000000003</v>
      </c>
      <c r="U124" s="103">
        <f>IF(settings!$B$13=0,(Calculations!M124*'District Wealth Adjustment'!M123)-Calculations!M124,0)</f>
        <v>0</v>
      </c>
      <c r="V124" s="185">
        <f>VLOOKUP(B124,'Remote School Building Weight'!$M$2:$P$174,3,FALSE)</f>
        <v>0</v>
      </c>
      <c r="W124" s="25">
        <f>'Small Dist Weight'!V123-Calculations!D124</f>
        <v>99.664680642633357</v>
      </c>
      <c r="X124" s="25">
        <f>IF(settings!$P$9=0,'Large District Weight'!H123*'Large District Weight'!G123,0)</f>
        <v>0</v>
      </c>
      <c r="Y124" s="25">
        <f t="shared" si="13"/>
        <v>1242.4416806426332</v>
      </c>
      <c r="Z124" s="25">
        <f>IF(settings!$F$13=0,'Teacher Exp'!L124,0)</f>
        <v>2.5811378279559065</v>
      </c>
      <c r="AA124" s="25">
        <f t="shared" si="14"/>
        <v>1245.0228184705891</v>
      </c>
      <c r="AB124" s="28"/>
      <c r="AC124" s="26">
        <f>'Student Enrollment Data'!BU125</f>
        <v>55</v>
      </c>
      <c r="AD124" s="26">
        <f t="shared" si="15"/>
        <v>96.350000000000009</v>
      </c>
      <c r="AE124" s="26">
        <f>AD124*'Front page'!$B$16</f>
        <v>1.9270000000000003</v>
      </c>
      <c r="AG124" s="6">
        <f>M124*'Front page'!$E$3</f>
        <v>4082148.5813704827</v>
      </c>
      <c r="AH124" s="6">
        <f>N124*'Front page'!$E$3</f>
        <v>45121.829155781677</v>
      </c>
      <c r="AI124" s="6">
        <f>O124*'Front page'!$E$3</f>
        <v>203365.99056126951</v>
      </c>
      <c r="AJ124" s="6">
        <f>P124*'Front page'!$E$3</f>
        <v>319454.07683999423</v>
      </c>
      <c r="AK124" s="6">
        <f>Q124*'Front page'!$E$3</f>
        <v>174979.48771209232</v>
      </c>
      <c r="AL124" s="6">
        <f>S124*'Front page'!$E$3</f>
        <v>8473.5829400528964</v>
      </c>
      <c r="AM124" s="5">
        <f>Z124*'Front page'!$E$3</f>
        <v>10935.742732446179</v>
      </c>
      <c r="AN124" s="6">
        <f>T124*'Front page'!$E$3</f>
        <v>8164.297162740967</v>
      </c>
      <c r="AO124" s="6">
        <f>U124*'Front page'!$E$3</f>
        <v>0</v>
      </c>
      <c r="AP124" s="6">
        <f>W124*'Front page'!$E$3</f>
        <v>422258.46880961908</v>
      </c>
      <c r="AQ124" s="6">
        <f>V124*'Front page'!$E$3</f>
        <v>0</v>
      </c>
      <c r="AR124" s="6">
        <f>X124*'Front page'!$E$3</f>
        <v>0</v>
      </c>
      <c r="AS124" s="6">
        <f t="shared" si="16"/>
        <v>5274902.0572844818</v>
      </c>
      <c r="AT124" s="7">
        <f>IF(AS124&gt;'Funding Comparison'!D124*(1+'Front page'!$H$10),'Funding Comparison'!D124*(1+'Front page'!$H$10),AS124)</f>
        <v>5133867.9217499997</v>
      </c>
    </row>
    <row r="125" spans="1:46" s="30" customFormat="1">
      <c r="A125" s="30" t="str">
        <f t="shared" si="9"/>
        <v>458</v>
      </c>
      <c r="B125" s="30">
        <f t="shared" si="11"/>
        <v>458</v>
      </c>
      <c r="C125" s="16" t="s">
        <v>134</v>
      </c>
      <c r="D125">
        <f>IF(settings!$G$4=0,'Student Enrollment Data'!AX126,'Student Enrollment Data'!CK126)</f>
        <v>401</v>
      </c>
      <c r="E125">
        <f>IF(settings!$G$4=0,'Student Enrollment Data'!AY126,'Student Enrollment Data'!CL126)</f>
        <v>100</v>
      </c>
      <c r="F125">
        <f>IF(settings!$G$4=0,'Student Enrollment Data'!AZ126,'Student Enrollment Data'!CM126)</f>
        <v>149</v>
      </c>
      <c r="G125" s="31">
        <f>'Student Enrollment Data'!BK126</f>
        <v>20</v>
      </c>
      <c r="H125" s="30">
        <f>'Student Enrollment Data'!BF126</f>
        <v>111</v>
      </c>
      <c r="I125">
        <f>SUM('Student Enrollment Data'!R126:X126,'Student Enrollment Data'!AQ126:AW126)</f>
        <v>0</v>
      </c>
      <c r="J125" s="30">
        <f>'Student Enrollment Data'!BS126</f>
        <v>0</v>
      </c>
      <c r="K125">
        <f t="shared" si="12"/>
        <v>40.1</v>
      </c>
      <c r="L125" s="28"/>
      <c r="M125" s="30">
        <f t="shared" si="17"/>
        <v>401</v>
      </c>
      <c r="N125" s="30">
        <f>E125*'Front page'!$B$20</f>
        <v>10</v>
      </c>
      <c r="O125" s="30">
        <f>F125*'Front page'!$B$21</f>
        <v>14.9</v>
      </c>
      <c r="P125">
        <f>G125*'Front page'!$B$18</f>
        <v>13</v>
      </c>
      <c r="Q125" s="30">
        <f>IF(settings!$B$4=0,Calculations!H125,Calculations!I125) *'Front page'!$B$11</f>
        <v>11.100000000000001</v>
      </c>
      <c r="R125" s="31">
        <f>ROUND(I125*'Front page'!$B$9,2)</f>
        <v>0</v>
      </c>
      <c r="S125" s="30">
        <f>J125*'Front page'!$B$14</f>
        <v>0</v>
      </c>
      <c r="T125" s="103">
        <f>'Front page'!$B$16*Calculations!K125</f>
        <v>0.80200000000000005</v>
      </c>
      <c r="U125" s="103">
        <f>IF(settings!$B$13=0,(Calculations!M125*'District Wealth Adjustment'!M124)-Calculations!M125,0)</f>
        <v>0</v>
      </c>
      <c r="V125" s="185">
        <f>VLOOKUP(B125,'Remote School Building Weight'!$M$2:$P$174,3,FALSE)</f>
        <v>0</v>
      </c>
      <c r="W125" s="25">
        <f>'Small Dist Weight'!V124-Calculations!D125</f>
        <v>182.52505485893425</v>
      </c>
      <c r="X125" s="25">
        <f>IF(settings!$P$9=0,'Large District Weight'!H124*'Large District Weight'!G124,0)</f>
        <v>0</v>
      </c>
      <c r="Y125" s="25">
        <f t="shared" si="13"/>
        <v>633.32705485893428</v>
      </c>
      <c r="Z125" s="25">
        <f>IF(settings!$F$13=0,'Teacher Exp'!L125,0)</f>
        <v>11.619100329203954</v>
      </c>
      <c r="AA125" s="25">
        <f t="shared" si="14"/>
        <v>644.94615518813828</v>
      </c>
      <c r="AB125" s="28"/>
      <c r="AC125" s="26">
        <f>'Student Enrollment Data'!BU126</f>
        <v>0</v>
      </c>
      <c r="AD125" s="26">
        <f t="shared" si="15"/>
        <v>40.1</v>
      </c>
      <c r="AE125" s="26">
        <f>AD125*'Front page'!$B$16</f>
        <v>0.80200000000000005</v>
      </c>
      <c r="AG125" s="6">
        <f>M125*'Front page'!$E$3</f>
        <v>1698953.3794806057</v>
      </c>
      <c r="AH125" s="6">
        <f>N125*'Front page'!$E$3</f>
        <v>42367.914700264482</v>
      </c>
      <c r="AI125" s="6">
        <f>O125*'Front page'!$E$3</f>
        <v>63128.192903394083</v>
      </c>
      <c r="AJ125" s="6">
        <f>P125*'Front page'!$E$3</f>
        <v>55078.289110343831</v>
      </c>
      <c r="AK125" s="6">
        <f>Q125*'Front page'!$E$3</f>
        <v>47028.385317293578</v>
      </c>
      <c r="AL125" s="6">
        <f>S125*'Front page'!$E$3</f>
        <v>0</v>
      </c>
      <c r="AM125" s="5">
        <f>Z125*'Front page'!$E$3</f>
        <v>49227.705164152809</v>
      </c>
      <c r="AN125" s="6">
        <f>T125*'Front page'!$E$3</f>
        <v>3397.9067589612118</v>
      </c>
      <c r="AO125" s="6">
        <f>U125*'Front page'!$E$3</f>
        <v>0</v>
      </c>
      <c r="AP125" s="6">
        <f>W125*'Front page'!$E$3</f>
        <v>773320.59549244214</v>
      </c>
      <c r="AQ125" s="6">
        <f>V125*'Front page'!$E$3</f>
        <v>0</v>
      </c>
      <c r="AR125" s="6">
        <f>X125*'Front page'!$E$3</f>
        <v>0</v>
      </c>
      <c r="AS125" s="6">
        <f t="shared" si="16"/>
        <v>2732502.3689274583</v>
      </c>
      <c r="AT125" s="7">
        <f>IF(AS125&gt;'Funding Comparison'!D125*(1+'Front page'!$H$10),'Funding Comparison'!D125*(1+'Front page'!$H$10),AS125)</f>
        <v>2732502.3689274583</v>
      </c>
    </row>
    <row r="126" spans="1:46" s="30" customFormat="1">
      <c r="A126" s="30" t="str">
        <f t="shared" si="9"/>
        <v>460</v>
      </c>
      <c r="B126" s="30">
        <f t="shared" si="11"/>
        <v>460</v>
      </c>
      <c r="C126" s="16" t="s">
        <v>135</v>
      </c>
      <c r="D126">
        <f>IF(settings!$G$4=0,'Student Enrollment Data'!AX127,'Student Enrollment Data'!CK127)</f>
        <v>528</v>
      </c>
      <c r="E126">
        <f>IF(settings!$G$4=0,'Student Enrollment Data'!AY127,'Student Enrollment Data'!CL127)</f>
        <v>204</v>
      </c>
      <c r="F126">
        <f>IF(settings!$G$4=0,'Student Enrollment Data'!AZ127,'Student Enrollment Data'!CM127)</f>
        <v>0</v>
      </c>
      <c r="G126" s="31">
        <f>'Student Enrollment Data'!BK127</f>
        <v>56</v>
      </c>
      <c r="H126" s="30">
        <f>'Student Enrollment Data'!BF127</f>
        <v>170</v>
      </c>
      <c r="I126">
        <f>SUM('Student Enrollment Data'!R127:X127,'Student Enrollment Data'!AQ127:AW127)</f>
        <v>0</v>
      </c>
      <c r="J126" s="30">
        <f>'Student Enrollment Data'!BS127</f>
        <v>0</v>
      </c>
      <c r="K126">
        <f t="shared" si="12"/>
        <v>52.800000000000004</v>
      </c>
      <c r="L126" s="28"/>
      <c r="M126" s="30">
        <f t="shared" si="17"/>
        <v>528</v>
      </c>
      <c r="N126" s="30">
        <f>E126*'Front page'!$B$20</f>
        <v>20.400000000000002</v>
      </c>
      <c r="O126" s="30">
        <f>F126*'Front page'!$B$21</f>
        <v>0</v>
      </c>
      <c r="P126">
        <f>G126*'Front page'!$B$18</f>
        <v>36.4</v>
      </c>
      <c r="Q126" s="30">
        <f>IF(settings!$B$4=0,Calculations!H126,Calculations!I126) *'Front page'!$B$11</f>
        <v>17</v>
      </c>
      <c r="R126" s="31">
        <f>ROUND(I126*'Front page'!$B$9,2)</f>
        <v>0</v>
      </c>
      <c r="S126" s="30">
        <f>J126*'Front page'!$B$14</f>
        <v>0</v>
      </c>
      <c r="T126" s="103">
        <f>'Front page'!$B$16*Calculations!K126</f>
        <v>1.056</v>
      </c>
      <c r="U126" s="103">
        <f>IF(settings!$B$13=0,(Calculations!M126*'District Wealth Adjustment'!M125)-Calculations!M126,0)</f>
        <v>0</v>
      </c>
      <c r="V126" s="185">
        <f>VLOOKUP(B126,'Remote School Building Weight'!$M$2:$P$174,3,FALSE)</f>
        <v>0</v>
      </c>
      <c r="W126" s="25">
        <f>'Small Dist Weight'!V125-Calculations!D126</f>
        <v>105.32405172413792</v>
      </c>
      <c r="X126" s="25">
        <f>IF(settings!$P$9=0,'Large District Weight'!H125*'Large District Weight'!G125,0)</f>
        <v>0</v>
      </c>
      <c r="Y126" s="25">
        <f t="shared" si="13"/>
        <v>708.18005172413791</v>
      </c>
      <c r="Z126" s="25">
        <f>IF(settings!$F$13=0,'Teacher Exp'!L126,0)</f>
        <v>0</v>
      </c>
      <c r="AA126" s="25">
        <f t="shared" si="14"/>
        <v>708.18005172413791</v>
      </c>
      <c r="AB126" s="28"/>
      <c r="AC126" s="26">
        <f>'Student Enrollment Data'!BU127</f>
        <v>0</v>
      </c>
      <c r="AD126" s="26">
        <f t="shared" si="15"/>
        <v>52.800000000000004</v>
      </c>
      <c r="AE126" s="26">
        <f>AD126*'Front page'!$B$16</f>
        <v>1.056</v>
      </c>
      <c r="AG126" s="6">
        <f>M126*'Front page'!$E$3</f>
        <v>2237025.8961739647</v>
      </c>
      <c r="AH126" s="6">
        <f>N126*'Front page'!$E$3</f>
        <v>86430.545988539554</v>
      </c>
      <c r="AI126" s="6">
        <f>O126*'Front page'!$E$3</f>
        <v>0</v>
      </c>
      <c r="AJ126" s="6">
        <f>P126*'Front page'!$E$3</f>
        <v>154219.2095089627</v>
      </c>
      <c r="AK126" s="6">
        <f>Q126*'Front page'!$E$3</f>
        <v>72025.454990449623</v>
      </c>
      <c r="AL126" s="6">
        <f>S126*'Front page'!$E$3</f>
        <v>0</v>
      </c>
      <c r="AM126" s="5">
        <f>Z126*'Front page'!$E$3</f>
        <v>0</v>
      </c>
      <c r="AN126" s="6">
        <f>T126*'Front page'!$E$3</f>
        <v>4474.0517923479292</v>
      </c>
      <c r="AO126" s="6">
        <f>U126*'Front page'!$E$3</f>
        <v>0</v>
      </c>
      <c r="AP126" s="6">
        <f>W126*'Front page'!$E$3</f>
        <v>446236.04393345193</v>
      </c>
      <c r="AQ126" s="6">
        <f>V126*'Front page'!$E$3</f>
        <v>0</v>
      </c>
      <c r="AR126" s="6">
        <f>X126*'Front page'!$E$3</f>
        <v>0</v>
      </c>
      <c r="AS126" s="6">
        <f t="shared" si="16"/>
        <v>3000411.2023877171</v>
      </c>
      <c r="AT126" s="7">
        <f>IF(AS126&gt;'Funding Comparison'!D126*(1+'Front page'!$H$10),'Funding Comparison'!D126*(1+'Front page'!$H$10),AS126)</f>
        <v>3000411.2023877171</v>
      </c>
    </row>
    <row r="127" spans="1:46" s="30" customFormat="1">
      <c r="A127" s="30" t="str">
        <f t="shared" si="9"/>
        <v>461</v>
      </c>
      <c r="B127" s="30">
        <f t="shared" si="11"/>
        <v>461</v>
      </c>
      <c r="C127" s="16" t="s">
        <v>136</v>
      </c>
      <c r="D127">
        <f>IF(settings!$G$4=0,'Student Enrollment Data'!AX128,'Student Enrollment Data'!CK128)</f>
        <v>352</v>
      </c>
      <c r="E127">
        <f>IF(settings!$G$4=0,'Student Enrollment Data'!AY128,'Student Enrollment Data'!CL128)</f>
        <v>105</v>
      </c>
      <c r="F127">
        <f>IF(settings!$G$4=0,'Student Enrollment Data'!AZ128,'Student Enrollment Data'!CM128)</f>
        <v>91</v>
      </c>
      <c r="G127" s="31">
        <f>'Student Enrollment Data'!BK128</f>
        <v>33</v>
      </c>
      <c r="H127" s="30">
        <f>'Student Enrollment Data'!BF128</f>
        <v>133</v>
      </c>
      <c r="I127">
        <f>SUM('Student Enrollment Data'!R128:X128,'Student Enrollment Data'!AQ128:AW128)</f>
        <v>0</v>
      </c>
      <c r="J127" s="30">
        <f>'Student Enrollment Data'!BS128</f>
        <v>0</v>
      </c>
      <c r="K127">
        <f t="shared" si="12"/>
        <v>35.200000000000003</v>
      </c>
      <c r="L127" s="28"/>
      <c r="M127" s="30">
        <f t="shared" si="17"/>
        <v>352</v>
      </c>
      <c r="N127" s="30">
        <f>E127*'Front page'!$B$20</f>
        <v>10.5</v>
      </c>
      <c r="O127" s="30">
        <f>F127*'Front page'!$B$21</f>
        <v>9.1</v>
      </c>
      <c r="P127">
        <f>G127*'Front page'!$B$18</f>
        <v>21.45</v>
      </c>
      <c r="Q127" s="30">
        <f>IF(settings!$B$4=0,Calculations!H127,Calculations!I127) *'Front page'!$B$11</f>
        <v>13.3</v>
      </c>
      <c r="R127" s="31">
        <f>ROUND(I127*'Front page'!$B$9,2)</f>
        <v>0</v>
      </c>
      <c r="S127" s="30">
        <f>J127*'Front page'!$B$14</f>
        <v>0</v>
      </c>
      <c r="T127" s="103">
        <f>'Front page'!$B$16*Calculations!K127</f>
        <v>0.70400000000000007</v>
      </c>
      <c r="U127" s="103">
        <f>IF(settings!$B$13=0,(Calculations!M127*'District Wealth Adjustment'!M126)-Calculations!M127,0)</f>
        <v>0</v>
      </c>
      <c r="V127" s="185">
        <f>VLOOKUP(B127,'Remote School Building Weight'!$M$2:$P$174,3,FALSE)</f>
        <v>0</v>
      </c>
      <c r="W127" s="25">
        <f>'Small Dist Weight'!V126-Calculations!D127</f>
        <v>154.69363636363641</v>
      </c>
      <c r="X127" s="25">
        <f>IF(settings!$P$9=0,'Large District Weight'!H126*'Large District Weight'!G126,0)</f>
        <v>0</v>
      </c>
      <c r="Y127" s="25">
        <f t="shared" si="13"/>
        <v>561.7476363636365</v>
      </c>
      <c r="Z127" s="25">
        <f>IF(settings!$F$13=0,'Teacher Exp'!L127,0)</f>
        <v>1.4765621228271562</v>
      </c>
      <c r="AA127" s="25">
        <f t="shared" si="14"/>
        <v>563.22419848646371</v>
      </c>
      <c r="AB127" s="28"/>
      <c r="AC127" s="26">
        <f>'Student Enrollment Data'!BU128</f>
        <v>0</v>
      </c>
      <c r="AD127" s="26">
        <f t="shared" si="15"/>
        <v>35.200000000000003</v>
      </c>
      <c r="AE127" s="26">
        <f>AD127*'Front page'!$B$16</f>
        <v>0.70400000000000007</v>
      </c>
      <c r="AG127" s="6">
        <f>M127*'Front page'!$E$3</f>
        <v>1491350.5974493097</v>
      </c>
      <c r="AH127" s="6">
        <f>N127*'Front page'!$E$3</f>
        <v>44486.310435277708</v>
      </c>
      <c r="AI127" s="6">
        <f>O127*'Front page'!$E$3</f>
        <v>38554.802377240674</v>
      </c>
      <c r="AJ127" s="6">
        <f>P127*'Front page'!$E$3</f>
        <v>90879.177032067309</v>
      </c>
      <c r="AK127" s="6">
        <f>Q127*'Front page'!$E$3</f>
        <v>56349.326551351762</v>
      </c>
      <c r="AL127" s="6">
        <f>S127*'Front page'!$E$3</f>
        <v>0</v>
      </c>
      <c r="AM127" s="5">
        <f>Z127*'Front page'!$E$3</f>
        <v>6255.8858069582402</v>
      </c>
      <c r="AN127" s="6">
        <f>T127*'Front page'!$E$3</f>
        <v>2982.7011948986196</v>
      </c>
      <c r="AO127" s="6">
        <f>U127*'Front page'!$E$3</f>
        <v>0</v>
      </c>
      <c r="AP127" s="6">
        <f>W127*'Front page'!$E$3</f>
        <v>655404.67901282792</v>
      </c>
      <c r="AQ127" s="6">
        <f>V127*'Front page'!$E$3</f>
        <v>0</v>
      </c>
      <c r="AR127" s="6">
        <f>X127*'Front page'!$E$3</f>
        <v>0</v>
      </c>
      <c r="AS127" s="6">
        <f t="shared" si="16"/>
        <v>2386263.4798599319</v>
      </c>
      <c r="AT127" s="7">
        <f>IF(AS127&gt;'Funding Comparison'!D127*(1+'Front page'!$H$10),'Funding Comparison'!D127*(1+'Front page'!$H$10),AS127)</f>
        <v>2386263.4798599319</v>
      </c>
    </row>
    <row r="128" spans="1:46" s="30" customFormat="1">
      <c r="A128" s="30" t="str">
        <f t="shared" si="9"/>
        <v>462</v>
      </c>
      <c r="B128" s="30">
        <f t="shared" si="11"/>
        <v>462</v>
      </c>
      <c r="C128" s="16" t="s">
        <v>137</v>
      </c>
      <c r="D128">
        <f>IF(settings!$G$4=0,'Student Enrollment Data'!AX129,'Student Enrollment Data'!CK129)</f>
        <v>677</v>
      </c>
      <c r="E128">
        <f>IF(settings!$G$4=0,'Student Enrollment Data'!AY129,'Student Enrollment Data'!CL129)</f>
        <v>192</v>
      </c>
      <c r="F128">
        <f>IF(settings!$G$4=0,'Student Enrollment Data'!AZ129,'Student Enrollment Data'!CM129)</f>
        <v>171</v>
      </c>
      <c r="G128" s="31">
        <f>'Student Enrollment Data'!BK129</f>
        <v>49</v>
      </c>
      <c r="H128" s="30">
        <f>'Student Enrollment Data'!BF129</f>
        <v>190</v>
      </c>
      <c r="I128">
        <f>SUM('Student Enrollment Data'!R129:X129,'Student Enrollment Data'!AQ129:AW129)</f>
        <v>0</v>
      </c>
      <c r="J128" s="30">
        <f>'Student Enrollment Data'!BS129</f>
        <v>60.729903052689608</v>
      </c>
      <c r="K128">
        <f t="shared" si="12"/>
        <v>67.7</v>
      </c>
      <c r="L128" s="28"/>
      <c r="M128" s="30">
        <f t="shared" si="17"/>
        <v>677</v>
      </c>
      <c r="N128" s="30">
        <f>E128*'Front page'!$B$20</f>
        <v>19.200000000000003</v>
      </c>
      <c r="O128" s="30">
        <f>F128*'Front page'!$B$21</f>
        <v>17.100000000000001</v>
      </c>
      <c r="P128">
        <f>G128*'Front page'!$B$18</f>
        <v>31.85</v>
      </c>
      <c r="Q128" s="30">
        <f>IF(settings!$B$4=0,Calculations!H128,Calculations!I128) *'Front page'!$B$11</f>
        <v>19</v>
      </c>
      <c r="R128" s="31">
        <f>ROUND(I128*'Front page'!$B$9,2)</f>
        <v>0</v>
      </c>
      <c r="S128" s="30">
        <f>J128*'Front page'!$B$14</f>
        <v>6.0729903052689611</v>
      </c>
      <c r="T128" s="103">
        <f>'Front page'!$B$16*Calculations!K128</f>
        <v>1.3540000000000001</v>
      </c>
      <c r="U128" s="103">
        <f>IF(settings!$B$13=0,(Calculations!M128*'District Wealth Adjustment'!M127)-Calculations!M128,0)</f>
        <v>0</v>
      </c>
      <c r="V128" s="185">
        <f>VLOOKUP(B128,'Remote School Building Weight'!$M$2:$P$174,3,FALSE)</f>
        <v>0</v>
      </c>
      <c r="W128" s="25">
        <f>'Small Dist Weight'!V127-Calculations!D128</f>
        <v>152.24275862068964</v>
      </c>
      <c r="X128" s="25">
        <f>IF(settings!$P$9=0,'Large District Weight'!H127*'Large District Weight'!G127,0)</f>
        <v>0</v>
      </c>
      <c r="Y128" s="25">
        <f t="shared" si="13"/>
        <v>923.81974892595872</v>
      </c>
      <c r="Z128" s="25">
        <f>IF(settings!$F$13=0,'Teacher Exp'!L128,0)</f>
        <v>0</v>
      </c>
      <c r="AA128" s="25">
        <f t="shared" si="14"/>
        <v>923.81974892595872</v>
      </c>
      <c r="AB128" s="28"/>
      <c r="AC128" s="26">
        <f>'Student Enrollment Data'!BU129</f>
        <v>0</v>
      </c>
      <c r="AD128" s="26">
        <f t="shared" si="15"/>
        <v>67.7</v>
      </c>
      <c r="AE128" s="26">
        <f>AD128*'Front page'!$B$16</f>
        <v>1.3540000000000001</v>
      </c>
      <c r="AG128" s="6">
        <f>M128*'Front page'!$E$3</f>
        <v>2868307.8252079054</v>
      </c>
      <c r="AH128" s="6">
        <f>N128*'Front page'!$E$3</f>
        <v>81346.396224507815</v>
      </c>
      <c r="AI128" s="6">
        <f>O128*'Front page'!$E$3</f>
        <v>72449.134137452274</v>
      </c>
      <c r="AJ128" s="6">
        <f>P128*'Front page'!$E$3</f>
        <v>134941.80832034239</v>
      </c>
      <c r="AK128" s="6">
        <f>Q128*'Front page'!$E$3</f>
        <v>80499.037930502513</v>
      </c>
      <c r="AL128" s="6">
        <f>S128*'Front page'!$E$3</f>
        <v>25729.993522916851</v>
      </c>
      <c r="AM128" s="5">
        <f>Z128*'Front page'!$E$3</f>
        <v>0</v>
      </c>
      <c r="AN128" s="6">
        <f>T128*'Front page'!$E$3</f>
        <v>5736.6156504158116</v>
      </c>
      <c r="AO128" s="6">
        <f>U128*'Front page'!$E$3</f>
        <v>0</v>
      </c>
      <c r="AP128" s="6">
        <f>W128*'Front page'!$E$3</f>
        <v>645020.82109743333</v>
      </c>
      <c r="AQ128" s="6">
        <f>V128*'Front page'!$E$3</f>
        <v>0</v>
      </c>
      <c r="AR128" s="6">
        <f>X128*'Front page'!$E$3</f>
        <v>0</v>
      </c>
      <c r="AS128" s="6">
        <f t="shared" si="16"/>
        <v>3914031.6320914766</v>
      </c>
      <c r="AT128" s="7">
        <f>IF(AS128&gt;'Funding Comparison'!D128*(1+'Front page'!$H$10),'Funding Comparison'!D128*(1+'Front page'!$H$10),AS128)</f>
        <v>3914031.6320914766</v>
      </c>
    </row>
    <row r="129" spans="1:46" s="30" customFormat="1">
      <c r="A129" s="30" t="str">
        <f t="shared" si="9"/>
        <v>463</v>
      </c>
      <c r="B129" s="30">
        <f t="shared" si="11"/>
        <v>463</v>
      </c>
      <c r="C129" s="16" t="s">
        <v>138</v>
      </c>
      <c r="D129">
        <f>IF(settings!$G$4=0,'Student Enrollment Data'!AX130,'Student Enrollment Data'!CK130)</f>
        <v>696</v>
      </c>
      <c r="E129">
        <f>IF(settings!$G$4=0,'Student Enrollment Data'!AY130,'Student Enrollment Data'!CL130)</f>
        <v>197</v>
      </c>
      <c r="F129">
        <f>IF(settings!$G$4=0,'Student Enrollment Data'!AZ130,'Student Enrollment Data'!CM130)</f>
        <v>167</v>
      </c>
      <c r="G129" s="31">
        <f>'Student Enrollment Data'!BK130</f>
        <v>49</v>
      </c>
      <c r="H129" s="30">
        <f>'Student Enrollment Data'!BF130</f>
        <v>262</v>
      </c>
      <c r="I129">
        <f>SUM('Student Enrollment Data'!R130:X130,'Student Enrollment Data'!AQ130:AW130)</f>
        <v>0</v>
      </c>
      <c r="J129" s="30">
        <f>'Student Enrollment Data'!BS130</f>
        <v>5</v>
      </c>
      <c r="K129">
        <f t="shared" si="12"/>
        <v>69.600000000000009</v>
      </c>
      <c r="L129" s="28"/>
      <c r="M129" s="30">
        <f t="shared" si="17"/>
        <v>696</v>
      </c>
      <c r="N129" s="30">
        <f>E129*'Front page'!$B$20</f>
        <v>19.700000000000003</v>
      </c>
      <c r="O129" s="30">
        <f>F129*'Front page'!$B$21</f>
        <v>16.7</v>
      </c>
      <c r="P129">
        <f>G129*'Front page'!$B$18</f>
        <v>31.85</v>
      </c>
      <c r="Q129" s="30">
        <f>IF(settings!$B$4=0,Calculations!H129,Calculations!I129) *'Front page'!$B$11</f>
        <v>26.200000000000003</v>
      </c>
      <c r="R129" s="31">
        <f>ROUND(I129*'Front page'!$B$9,2)</f>
        <v>0</v>
      </c>
      <c r="S129" s="30">
        <f>J129*'Front page'!$B$14</f>
        <v>0.5</v>
      </c>
      <c r="T129" s="103">
        <f>'Front page'!$B$16*Calculations!K129</f>
        <v>1.3920000000000001</v>
      </c>
      <c r="U129" s="103">
        <f>IF(settings!$B$13=0,(Calculations!M129*'District Wealth Adjustment'!M128)-Calculations!M129,0)</f>
        <v>0</v>
      </c>
      <c r="V129" s="185">
        <f>VLOOKUP(B129,'Remote School Building Weight'!$M$2:$P$174,3,FALSE)</f>
        <v>0</v>
      </c>
      <c r="W129" s="25">
        <f>'Small Dist Weight'!V128-Calculations!D129</f>
        <v>151.98931034482757</v>
      </c>
      <c r="X129" s="25">
        <f>IF(settings!$P$9=0,'Large District Weight'!H128*'Large District Weight'!G128,0)</f>
        <v>0</v>
      </c>
      <c r="Y129" s="25">
        <f t="shared" si="13"/>
        <v>944.33131034482778</v>
      </c>
      <c r="Z129" s="25">
        <f>IF(settings!$F$13=0,'Teacher Exp'!L129,0)</f>
        <v>28.123079875676876</v>
      </c>
      <c r="AA129" s="25">
        <f t="shared" si="14"/>
        <v>972.45439022050471</v>
      </c>
      <c r="AB129" s="28"/>
      <c r="AC129" s="26">
        <f>'Student Enrollment Data'!BU130</f>
        <v>34</v>
      </c>
      <c r="AD129" s="26">
        <f t="shared" si="15"/>
        <v>69.600000000000009</v>
      </c>
      <c r="AE129" s="26">
        <f>AD129*'Front page'!$B$16</f>
        <v>1.3920000000000001</v>
      </c>
      <c r="AG129" s="6">
        <f>M129*'Front page'!$E$3</f>
        <v>2948806.8631384079</v>
      </c>
      <c r="AH129" s="6">
        <f>N129*'Front page'!$E$3</f>
        <v>83464.791959521041</v>
      </c>
      <c r="AI129" s="6">
        <f>O129*'Front page'!$E$3</f>
        <v>70754.417549441685</v>
      </c>
      <c r="AJ129" s="6">
        <f>P129*'Front page'!$E$3</f>
        <v>134941.80832034239</v>
      </c>
      <c r="AK129" s="6">
        <f>Q129*'Front page'!$E$3</f>
        <v>111003.93651469295</v>
      </c>
      <c r="AL129" s="6">
        <f>S129*'Front page'!$E$3</f>
        <v>2118.3957350132241</v>
      </c>
      <c r="AM129" s="5">
        <f>Z129*'Front page'!$E$3</f>
        <v>119151.62492814026</v>
      </c>
      <c r="AN129" s="6">
        <f>T129*'Front page'!$E$3</f>
        <v>5897.6137262768161</v>
      </c>
      <c r="AO129" s="6">
        <f>U129*'Front page'!$E$3</f>
        <v>0</v>
      </c>
      <c r="AP129" s="6">
        <f>W129*'Front page'!$E$3</f>
        <v>643947.01360416808</v>
      </c>
      <c r="AQ129" s="6">
        <f>V129*'Front page'!$E$3</f>
        <v>0</v>
      </c>
      <c r="AR129" s="6">
        <f>X129*'Front page'!$E$3</f>
        <v>0</v>
      </c>
      <c r="AS129" s="6">
        <f t="shared" si="16"/>
        <v>4120086.4654760044</v>
      </c>
      <c r="AT129" s="7">
        <f>IF(AS129&gt;'Funding Comparison'!D129*(1+'Front page'!$H$10),'Funding Comparison'!D129*(1+'Front page'!$H$10),AS129)</f>
        <v>4120086.4654760044</v>
      </c>
    </row>
    <row r="130" spans="1:46" s="30" customFormat="1">
      <c r="A130" s="30" t="str">
        <f t="shared" si="9"/>
        <v>464</v>
      </c>
      <c r="B130" s="30">
        <f t="shared" si="11"/>
        <v>464</v>
      </c>
      <c r="C130" s="16" t="s">
        <v>139</v>
      </c>
      <c r="D130">
        <f>IF(settings!$G$4=0,'Student Enrollment Data'!AX131,'Student Enrollment Data'!CK131)</f>
        <v>502</v>
      </c>
      <c r="E130">
        <f>IF(settings!$G$4=0,'Student Enrollment Data'!AY131,'Student Enrollment Data'!CL131)</f>
        <v>257</v>
      </c>
      <c r="F130">
        <f>IF(settings!$G$4=0,'Student Enrollment Data'!AZ131,'Student Enrollment Data'!CM131)</f>
        <v>0</v>
      </c>
      <c r="G130" s="31">
        <f>'Student Enrollment Data'!BK131</f>
        <v>41</v>
      </c>
      <c r="H130" s="30">
        <f>'Student Enrollment Data'!BF131</f>
        <v>161</v>
      </c>
      <c r="I130">
        <f>SUM('Student Enrollment Data'!R131:X131,'Student Enrollment Data'!AQ131:AW131)</f>
        <v>0</v>
      </c>
      <c r="J130" s="30">
        <f>'Student Enrollment Data'!BS131</f>
        <v>36.605122551475027</v>
      </c>
      <c r="K130">
        <f t="shared" si="12"/>
        <v>50.2</v>
      </c>
      <c r="L130" s="28"/>
      <c r="M130" s="30">
        <f t="shared" si="17"/>
        <v>502</v>
      </c>
      <c r="N130" s="30">
        <f>E130*'Front page'!$B$20</f>
        <v>25.700000000000003</v>
      </c>
      <c r="O130" s="30">
        <f>F130*'Front page'!$B$21</f>
        <v>0</v>
      </c>
      <c r="P130">
        <f>G130*'Front page'!$B$18</f>
        <v>26.650000000000002</v>
      </c>
      <c r="Q130" s="30">
        <f>IF(settings!$B$4=0,Calculations!H130,Calculations!I130) *'Front page'!$B$11</f>
        <v>16.100000000000001</v>
      </c>
      <c r="R130" s="31">
        <f>ROUND(I130*'Front page'!$B$9,2)</f>
        <v>0</v>
      </c>
      <c r="S130" s="30">
        <f>J130*'Front page'!$B$14</f>
        <v>3.6605122551475029</v>
      </c>
      <c r="T130" s="103">
        <f>'Front page'!$B$16*Calculations!K130</f>
        <v>1.004</v>
      </c>
      <c r="U130" s="103">
        <f>IF(settings!$B$13=0,(Calculations!M130*'District Wealth Adjustment'!M129)-Calculations!M130,0)</f>
        <v>0</v>
      </c>
      <c r="V130" s="185">
        <f>VLOOKUP(B130,'Remote School Building Weight'!$M$2:$P$174,3,FALSE)</f>
        <v>0</v>
      </c>
      <c r="W130" s="25">
        <f>'Small Dist Weight'!V129-Calculations!D130</f>
        <v>70.116465517241409</v>
      </c>
      <c r="X130" s="25">
        <f>IF(settings!$P$9=0,'Large District Weight'!H129*'Large District Weight'!G129,0)</f>
        <v>0</v>
      </c>
      <c r="Y130" s="25">
        <f t="shared" si="13"/>
        <v>645.230977772389</v>
      </c>
      <c r="Z130" s="25">
        <f>IF(settings!$F$13=0,'Teacher Exp'!L130,0)</f>
        <v>0</v>
      </c>
      <c r="AA130" s="25">
        <f t="shared" si="14"/>
        <v>645.230977772389</v>
      </c>
      <c r="AB130" s="28"/>
      <c r="AC130" s="26">
        <f>'Student Enrollment Data'!BU131</f>
        <v>20</v>
      </c>
      <c r="AD130" s="26">
        <f t="shared" si="15"/>
        <v>50.2</v>
      </c>
      <c r="AE130" s="26">
        <f>AD130*'Front page'!$B$16</f>
        <v>1.004</v>
      </c>
      <c r="AG130" s="6">
        <f>M130*'Front page'!$E$3</f>
        <v>2126869.3179532769</v>
      </c>
      <c r="AH130" s="6">
        <f>N130*'Front page'!$E$3</f>
        <v>108885.54077967974</v>
      </c>
      <c r="AI130" s="6">
        <f>O130*'Front page'!$E$3</f>
        <v>0</v>
      </c>
      <c r="AJ130" s="6">
        <f>P130*'Front page'!$E$3</f>
        <v>112910.49267620486</v>
      </c>
      <c r="AK130" s="6">
        <f>Q130*'Front page'!$E$3</f>
        <v>68212.342667425823</v>
      </c>
      <c r="AL130" s="6">
        <f>S130*'Front page'!$E$3</f>
        <v>15508.827098536218</v>
      </c>
      <c r="AM130" s="5">
        <f>Z130*'Front page'!$E$3</f>
        <v>0</v>
      </c>
      <c r="AN130" s="6">
        <f>T130*'Front page'!$E$3</f>
        <v>4253.738635906554</v>
      </c>
      <c r="AO130" s="6">
        <f>U130*'Front page'!$E$3</f>
        <v>0</v>
      </c>
      <c r="AP130" s="6">
        <f>W130*'Front page'!$E$3</f>
        <v>297068.843011852</v>
      </c>
      <c r="AQ130" s="6">
        <f>V130*'Front page'!$E$3</f>
        <v>0</v>
      </c>
      <c r="AR130" s="6">
        <f>X130*'Front page'!$E$3</f>
        <v>0</v>
      </c>
      <c r="AS130" s="6">
        <f t="shared" si="16"/>
        <v>2733709.1028228821</v>
      </c>
      <c r="AT130" s="7">
        <f>IF(AS130&gt;'Funding Comparison'!D130*(1+'Front page'!$H$10),'Funding Comparison'!D130*(1+'Front page'!$H$10),AS130)</f>
        <v>2368441.49425</v>
      </c>
    </row>
    <row r="131" spans="1:46" s="30" customFormat="1">
      <c r="A131" s="30" t="str">
        <f t="shared" ref="A131:A175" si="18">RIGHT(C131,3)</f>
        <v>465</v>
      </c>
      <c r="B131" s="30">
        <f t="shared" si="11"/>
        <v>465</v>
      </c>
      <c r="C131" s="16" t="s">
        <v>140</v>
      </c>
      <c r="D131">
        <f>IF(settings!$G$4=0,'Student Enrollment Data'!AX132,'Student Enrollment Data'!CK132)</f>
        <v>213.5</v>
      </c>
      <c r="E131">
        <f>IF(settings!$G$4=0,'Student Enrollment Data'!AY132,'Student Enrollment Data'!CL132)</f>
        <v>66.5</v>
      </c>
      <c r="F131">
        <f>IF(settings!$G$4=0,'Student Enrollment Data'!AZ132,'Student Enrollment Data'!CM132)</f>
        <v>52</v>
      </c>
      <c r="G131" s="31">
        <f>'Student Enrollment Data'!BK132</f>
        <v>16</v>
      </c>
      <c r="H131" s="30">
        <f>'Student Enrollment Data'!BF132</f>
        <v>125</v>
      </c>
      <c r="I131">
        <f>SUM('Student Enrollment Data'!R132:X132,'Student Enrollment Data'!AQ132:AW132)</f>
        <v>0</v>
      </c>
      <c r="J131" s="30">
        <f>'Student Enrollment Data'!BS132</f>
        <v>11</v>
      </c>
      <c r="K131">
        <f t="shared" si="12"/>
        <v>21.35</v>
      </c>
      <c r="L131" s="28"/>
      <c r="M131" s="30">
        <f t="shared" ref="M131:M167" si="19">MAX(D131,30)</f>
        <v>213.5</v>
      </c>
      <c r="N131" s="30">
        <f>E131*'Front page'!$B$20</f>
        <v>6.65</v>
      </c>
      <c r="O131" s="30">
        <f>F131*'Front page'!$B$21</f>
        <v>5.2</v>
      </c>
      <c r="P131">
        <f>G131*'Front page'!$B$18</f>
        <v>10.4</v>
      </c>
      <c r="Q131" s="30">
        <f>IF(settings!$B$4=0,Calculations!H131,Calculations!I131) *'Front page'!$B$11</f>
        <v>12.5</v>
      </c>
      <c r="R131" s="31">
        <f>ROUND(I131*'Front page'!$B$9,2)</f>
        <v>0</v>
      </c>
      <c r="S131" s="30">
        <f>J131*'Front page'!$B$14</f>
        <v>1.1000000000000001</v>
      </c>
      <c r="T131" s="103">
        <f>'Front page'!$B$16*Calculations!K131</f>
        <v>0.42700000000000005</v>
      </c>
      <c r="U131" s="103">
        <f>IF(settings!$B$13=0,(Calculations!M131*'District Wealth Adjustment'!M130)-Calculations!M131,0)</f>
        <v>0</v>
      </c>
      <c r="V131" s="185">
        <f>VLOOKUP(B131,'Remote School Building Weight'!$M$2:$P$174,3,FALSE)</f>
        <v>0</v>
      </c>
      <c r="W131" s="25">
        <f>'Small Dist Weight'!V130-Calculations!D131</f>
        <v>134.98404192789968</v>
      </c>
      <c r="X131" s="25">
        <f>IF(settings!$P$9=0,'Large District Weight'!H130*'Large District Weight'!G130,0)</f>
        <v>0</v>
      </c>
      <c r="Y131" s="25">
        <f t="shared" si="13"/>
        <v>384.76104192789967</v>
      </c>
      <c r="Z131" s="25">
        <f>IF(settings!$F$13=0,'Teacher Exp'!L131,0)</f>
        <v>0</v>
      </c>
      <c r="AA131" s="25">
        <f t="shared" si="14"/>
        <v>384.76104192789967</v>
      </c>
      <c r="AB131" s="28"/>
      <c r="AC131" s="26">
        <f>'Student Enrollment Data'!BU132</f>
        <v>0</v>
      </c>
      <c r="AD131" s="26">
        <f t="shared" si="15"/>
        <v>21.35</v>
      </c>
      <c r="AE131" s="26">
        <f>AD131*'Front page'!$B$16</f>
        <v>0.42700000000000005</v>
      </c>
      <c r="AG131" s="6">
        <f>M131*'Front page'!$E$3</f>
        <v>904554.97885064664</v>
      </c>
      <c r="AH131" s="6">
        <f>N131*'Front page'!$E$3</f>
        <v>28174.663275675881</v>
      </c>
      <c r="AI131" s="6">
        <f>O131*'Front page'!$E$3</f>
        <v>22031.315644137532</v>
      </c>
      <c r="AJ131" s="6">
        <f>P131*'Front page'!$E$3</f>
        <v>44062.631288275064</v>
      </c>
      <c r="AK131" s="6">
        <f>Q131*'Front page'!$E$3</f>
        <v>52959.893375330605</v>
      </c>
      <c r="AL131" s="6">
        <f>S131*'Front page'!$E$3</f>
        <v>4660.4706170290938</v>
      </c>
      <c r="AM131" s="5">
        <f>Z131*'Front page'!$E$3</f>
        <v>0</v>
      </c>
      <c r="AN131" s="6">
        <f>T131*'Front page'!$E$3</f>
        <v>1809.1099577012935</v>
      </c>
      <c r="AO131" s="6">
        <f>U131*'Front page'!$E$3</f>
        <v>0</v>
      </c>
      <c r="AP131" s="6">
        <f>W131*'Front page'!$E$3</f>
        <v>571899.23742981779</v>
      </c>
      <c r="AQ131" s="6">
        <f>V131*'Front page'!$E$3</f>
        <v>0</v>
      </c>
      <c r="AR131" s="6">
        <f>X131*'Front page'!$E$3</f>
        <v>0</v>
      </c>
      <c r="AS131" s="6">
        <f t="shared" si="16"/>
        <v>1630152.3004386141</v>
      </c>
      <c r="AT131" s="7">
        <f>IF(AS131&gt;'Funding Comparison'!D131*(1+'Front page'!$H$10),'Funding Comparison'!D131*(1+'Front page'!$H$10),AS131)</f>
        <v>1569330.15</v>
      </c>
    </row>
    <row r="132" spans="1:46" s="30" customFormat="1">
      <c r="A132" s="30" t="str">
        <f t="shared" si="18"/>
        <v>466</v>
      </c>
      <c r="B132" s="30">
        <f t="shared" ref="B132:B166" si="20">A132*1</f>
        <v>466</v>
      </c>
      <c r="C132" s="16" t="s">
        <v>141</v>
      </c>
      <c r="D132">
        <f>IF(settings!$G$4=0,'Student Enrollment Data'!AX133,'Student Enrollment Data'!CK133)</f>
        <v>562</v>
      </c>
      <c r="E132">
        <f>IF(settings!$G$4=0,'Student Enrollment Data'!AY133,'Student Enrollment Data'!CL133)</f>
        <v>0</v>
      </c>
      <c r="F132">
        <f>IF(settings!$G$4=0,'Student Enrollment Data'!AZ133,'Student Enrollment Data'!CM133)</f>
        <v>562</v>
      </c>
      <c r="G132" s="31">
        <f>'Student Enrollment Data'!BK133</f>
        <v>49</v>
      </c>
      <c r="H132" s="30">
        <f>'Student Enrollment Data'!BF133</f>
        <v>307</v>
      </c>
      <c r="I132">
        <f>SUM('Student Enrollment Data'!R133:X133,'Student Enrollment Data'!AQ133:AW133)</f>
        <v>0</v>
      </c>
      <c r="J132" s="30">
        <f>'Student Enrollment Data'!BS133</f>
        <v>0</v>
      </c>
      <c r="K132">
        <f t="shared" ref="K132:K175" si="21">M132*0.1</f>
        <v>56.2</v>
      </c>
      <c r="L132" s="28"/>
      <c r="M132" s="30">
        <f t="shared" si="19"/>
        <v>562</v>
      </c>
      <c r="N132" s="30">
        <f>E132*'Front page'!$B$20</f>
        <v>0</v>
      </c>
      <c r="O132" s="30">
        <f>F132*'Front page'!$B$21</f>
        <v>56.2</v>
      </c>
      <c r="P132">
        <f>G132*'Front page'!$B$18</f>
        <v>31.85</v>
      </c>
      <c r="Q132" s="30">
        <f>IF(settings!$B$4=0,Calculations!H132,Calculations!I132) *'Front page'!$B$11</f>
        <v>30.700000000000003</v>
      </c>
      <c r="R132" s="31">
        <f>ROUND(I132*'Front page'!$B$9,2)</f>
        <v>0</v>
      </c>
      <c r="S132" s="30">
        <f>J132*'Front page'!$B$14</f>
        <v>0</v>
      </c>
      <c r="T132" s="103">
        <f>'Front page'!$B$16*Calculations!K132</f>
        <v>1.1240000000000001</v>
      </c>
      <c r="U132" s="103">
        <f>IF(settings!$B$13=0,(Calculations!M132*'District Wealth Adjustment'!M131)-Calculations!M132,0)</f>
        <v>0</v>
      </c>
      <c r="V132" s="185">
        <f>VLOOKUP(B132,'Remote School Building Weight'!$M$2:$P$174,3,FALSE)</f>
        <v>0</v>
      </c>
      <c r="W132" s="25">
        <f>'Small Dist Weight'!V131-Calculations!D132</f>
        <v>104.45448275862088</v>
      </c>
      <c r="X132" s="25">
        <f>IF(settings!$P$9=0,'Large District Weight'!H131*'Large District Weight'!G131,0)</f>
        <v>0</v>
      </c>
      <c r="Y132" s="25">
        <f t="shared" ref="Y132:Y175" si="22">SUM(M132:X132)</f>
        <v>786.32848275862102</v>
      </c>
      <c r="Z132" s="25">
        <f>IF(settings!$F$13=0,'Teacher Exp'!L132,0)</f>
        <v>3.8740946984934403</v>
      </c>
      <c r="AA132" s="25">
        <f t="shared" ref="AA132:AA175" si="23">Y132+Z132</f>
        <v>790.20257745711444</v>
      </c>
      <c r="AB132" s="28"/>
      <c r="AC132" s="26">
        <f>'Student Enrollment Data'!BU133</f>
        <v>0</v>
      </c>
      <c r="AD132" s="26">
        <f t="shared" ref="AD132:AD175" si="24">M132*0.1</f>
        <v>56.2</v>
      </c>
      <c r="AE132" s="26">
        <f>AD132*'Front page'!$B$16</f>
        <v>1.1240000000000001</v>
      </c>
      <c r="AG132" s="6">
        <f>M132*'Front page'!$E$3</f>
        <v>2381076.8061548639</v>
      </c>
      <c r="AH132" s="6">
        <f>N132*'Front page'!$E$3</f>
        <v>0</v>
      </c>
      <c r="AI132" s="6">
        <f>O132*'Front page'!$E$3</f>
        <v>238107.6806154864</v>
      </c>
      <c r="AJ132" s="6">
        <f>P132*'Front page'!$E$3</f>
        <v>134941.80832034239</v>
      </c>
      <c r="AK132" s="6">
        <f>Q132*'Front page'!$E$3</f>
        <v>130069.49812981197</v>
      </c>
      <c r="AL132" s="6">
        <f>S132*'Front page'!$E$3</f>
        <v>0</v>
      </c>
      <c r="AM132" s="5">
        <f>Z132*'Front page'!$E$3</f>
        <v>16413.731372651691</v>
      </c>
      <c r="AN132" s="6">
        <f>T132*'Front page'!$E$3</f>
        <v>4762.1536123097285</v>
      </c>
      <c r="AO132" s="6">
        <f>U132*'Front page'!$E$3</f>
        <v>0</v>
      </c>
      <c r="AP132" s="6">
        <f>W132*'Front page'!$E$3</f>
        <v>442551.86155774968</v>
      </c>
      <c r="AQ132" s="6">
        <f>V132*'Front page'!$E$3</f>
        <v>0</v>
      </c>
      <c r="AR132" s="6">
        <f>X132*'Front page'!$E$3</f>
        <v>0</v>
      </c>
      <c r="AS132" s="6">
        <f t="shared" ref="AS132:AS175" si="25">SUM(AG132:AR132)</f>
        <v>3347923.5397632159</v>
      </c>
      <c r="AT132" s="7">
        <f>IF(AS132&gt;'Funding Comparison'!D132*(1+'Front page'!$H$10),'Funding Comparison'!D132*(1+'Front page'!$H$10),AS132)</f>
        <v>3088137.2994999997</v>
      </c>
    </row>
    <row r="133" spans="1:46" s="30" customFormat="1">
      <c r="A133" s="30" t="str">
        <f t="shared" si="18"/>
        <v>468</v>
      </c>
      <c r="B133" s="30">
        <f t="shared" si="20"/>
        <v>468</v>
      </c>
      <c r="C133" s="16" t="s">
        <v>142</v>
      </c>
      <c r="D133">
        <f>IF(settings!$G$4=0,'Student Enrollment Data'!AX134,'Student Enrollment Data'!CK134)</f>
        <v>273</v>
      </c>
      <c r="E133">
        <f>IF(settings!$G$4=0,'Student Enrollment Data'!AY134,'Student Enrollment Data'!CL134)</f>
        <v>62</v>
      </c>
      <c r="F133">
        <f>IF(settings!$G$4=0,'Student Enrollment Data'!AZ134,'Student Enrollment Data'!CM134)</f>
        <v>0</v>
      </c>
      <c r="G133" s="31">
        <f>'Student Enrollment Data'!BK134</f>
        <v>24</v>
      </c>
      <c r="H133" s="30">
        <f>'Student Enrollment Data'!BF134</f>
        <v>86</v>
      </c>
      <c r="I133">
        <f>SUM('Student Enrollment Data'!R134:X134,'Student Enrollment Data'!AQ134:AW134)</f>
        <v>0</v>
      </c>
      <c r="J133" s="30">
        <f>'Student Enrollment Data'!BS134</f>
        <v>0</v>
      </c>
      <c r="K133">
        <f t="shared" si="21"/>
        <v>27.3</v>
      </c>
      <c r="L133" s="28"/>
      <c r="M133" s="30">
        <f t="shared" si="19"/>
        <v>273</v>
      </c>
      <c r="N133" s="30">
        <f>E133*'Front page'!$B$20</f>
        <v>6.2</v>
      </c>
      <c r="O133" s="30">
        <f>F133*'Front page'!$B$21</f>
        <v>0</v>
      </c>
      <c r="P133">
        <f>G133*'Front page'!$B$18</f>
        <v>15.600000000000001</v>
      </c>
      <c r="Q133" s="30">
        <f>IF(settings!$B$4=0,Calculations!H133,Calculations!I133) *'Front page'!$B$11</f>
        <v>8.6</v>
      </c>
      <c r="R133" s="31">
        <f>ROUND(I133*'Front page'!$B$9,2)</f>
        <v>0</v>
      </c>
      <c r="S133" s="30">
        <f>J133*'Front page'!$B$14</f>
        <v>0</v>
      </c>
      <c r="T133" s="103">
        <f>'Front page'!$B$16*Calculations!K133</f>
        <v>0.54600000000000004</v>
      </c>
      <c r="U133" s="103">
        <f>IF(settings!$B$13=0,(Calculations!M133*'District Wealth Adjustment'!M132)-Calculations!M133,0)</f>
        <v>0</v>
      </c>
      <c r="V133" s="185">
        <f>VLOOKUP(B133,'Remote School Building Weight'!$M$2:$P$174,3,FALSE)</f>
        <v>0</v>
      </c>
      <c r="W133" s="25">
        <f>'Small Dist Weight'!V132-Calculations!D133</f>
        <v>127.93646551724134</v>
      </c>
      <c r="X133" s="25">
        <f>IF(settings!$P$9=0,'Large District Weight'!H132*'Large District Weight'!G132,0)</f>
        <v>0</v>
      </c>
      <c r="Y133" s="25">
        <f t="shared" si="22"/>
        <v>431.88246551724137</v>
      </c>
      <c r="Z133" s="25">
        <f>IF(settings!$F$13=0,'Teacher Exp'!L133,0)</f>
        <v>0</v>
      </c>
      <c r="AA133" s="25">
        <f t="shared" si="23"/>
        <v>431.88246551724137</v>
      </c>
      <c r="AB133" s="28"/>
      <c r="AC133" s="26">
        <f>'Student Enrollment Data'!BU134</f>
        <v>0</v>
      </c>
      <c r="AD133" s="26">
        <f t="shared" si="24"/>
        <v>27.3</v>
      </c>
      <c r="AE133" s="26">
        <f>AD133*'Front page'!$B$16</f>
        <v>0.54600000000000004</v>
      </c>
      <c r="AG133" s="6">
        <f>M133*'Front page'!$E$3</f>
        <v>1156644.0713172203</v>
      </c>
      <c r="AH133" s="6">
        <f>N133*'Front page'!$E$3</f>
        <v>26268.10711416398</v>
      </c>
      <c r="AI133" s="6">
        <f>O133*'Front page'!$E$3</f>
        <v>0</v>
      </c>
      <c r="AJ133" s="6">
        <f>P133*'Front page'!$E$3</f>
        <v>66093.946932412597</v>
      </c>
      <c r="AK133" s="6">
        <f>Q133*'Front page'!$E$3</f>
        <v>36436.406642227455</v>
      </c>
      <c r="AL133" s="6">
        <f>S133*'Front page'!$E$3</f>
        <v>0</v>
      </c>
      <c r="AM133" s="5">
        <f>Z133*'Front page'!$E$3</f>
        <v>0</v>
      </c>
      <c r="AN133" s="6">
        <f>T133*'Front page'!$E$3</f>
        <v>2313.2881426344411</v>
      </c>
      <c r="AO133" s="6">
        <f>U133*'Front page'!$E$3</f>
        <v>0</v>
      </c>
      <c r="AP133" s="6">
        <f>W133*'Front page'!$E$3</f>
        <v>542040.12580878101</v>
      </c>
      <c r="AQ133" s="6">
        <f>V133*'Front page'!$E$3</f>
        <v>0</v>
      </c>
      <c r="AR133" s="6">
        <f>X133*'Front page'!$E$3</f>
        <v>0</v>
      </c>
      <c r="AS133" s="6">
        <f t="shared" si="25"/>
        <v>1829795.94595744</v>
      </c>
      <c r="AT133" s="7">
        <f>IF(AS133&gt;'Funding Comparison'!D133*(1+'Front page'!$H$10),'Funding Comparison'!D133*(1+'Front page'!$H$10),AS133)</f>
        <v>1586142.94575</v>
      </c>
    </row>
    <row r="134" spans="1:46" s="30" customFormat="1">
      <c r="A134" s="30" t="str">
        <f t="shared" si="18"/>
        <v>469</v>
      </c>
      <c r="B134" s="30">
        <f t="shared" si="20"/>
        <v>469</v>
      </c>
      <c r="C134" s="16" t="s">
        <v>143</v>
      </c>
      <c r="D134">
        <f>IF(settings!$G$4=0,'Student Enrollment Data'!AX135,'Student Enrollment Data'!CK135)</f>
        <v>226</v>
      </c>
      <c r="E134">
        <f>IF(settings!$G$4=0,'Student Enrollment Data'!AY135,'Student Enrollment Data'!CL135)</f>
        <v>0</v>
      </c>
      <c r="F134">
        <f>IF(settings!$G$4=0,'Student Enrollment Data'!AZ135,'Student Enrollment Data'!CM135)</f>
        <v>175</v>
      </c>
      <c r="G134" s="31">
        <f>'Student Enrollment Data'!BK135</f>
        <v>19</v>
      </c>
      <c r="H134" s="30">
        <f>'Student Enrollment Data'!BF135</f>
        <v>128</v>
      </c>
      <c r="I134">
        <f>SUM('Student Enrollment Data'!R135:X135,'Student Enrollment Data'!AQ135:AW135)</f>
        <v>147.22260801692138</v>
      </c>
      <c r="J134" s="30">
        <f>'Student Enrollment Data'!BS135</f>
        <v>0</v>
      </c>
      <c r="K134">
        <f t="shared" si="21"/>
        <v>22.6</v>
      </c>
      <c r="L134" s="28"/>
      <c r="M134" s="30">
        <f t="shared" si="19"/>
        <v>226</v>
      </c>
      <c r="N134" s="30">
        <f>E134*'Front page'!$B$20</f>
        <v>0</v>
      </c>
      <c r="O134" s="30">
        <f>F134*'Front page'!$B$21</f>
        <v>17.5</v>
      </c>
      <c r="P134">
        <f>G134*'Front page'!$B$18</f>
        <v>12.35</v>
      </c>
      <c r="Q134" s="30">
        <f>IF(settings!$B$4=0,Calculations!H134,Calculations!I134) *'Front page'!$B$11</f>
        <v>12.8</v>
      </c>
      <c r="R134" s="31">
        <f>ROUND(I134*'Front page'!$B$9,2)</f>
        <v>0</v>
      </c>
      <c r="S134" s="30">
        <f>J134*'Front page'!$B$14</f>
        <v>0</v>
      </c>
      <c r="T134" s="103">
        <f>'Front page'!$B$16*Calculations!K134</f>
        <v>0.45200000000000001</v>
      </c>
      <c r="U134" s="103">
        <f>IF(settings!$B$13=0,(Calculations!M134*'District Wealth Adjustment'!M133)-Calculations!M134,0)</f>
        <v>0</v>
      </c>
      <c r="V134" s="185">
        <f>VLOOKUP(B134,'Remote School Building Weight'!$M$2:$P$174,3,FALSE)</f>
        <v>0</v>
      </c>
      <c r="W134" s="25">
        <f>'Small Dist Weight'!V133-Calculations!D134</f>
        <v>149.67931034482763</v>
      </c>
      <c r="X134" s="25">
        <f>IF(settings!$P$9=0,'Large District Weight'!H133*'Large District Weight'!G133,0)</f>
        <v>0</v>
      </c>
      <c r="Y134" s="25">
        <f t="shared" si="22"/>
        <v>418.7813103448276</v>
      </c>
      <c r="Z134" s="25">
        <f>IF(settings!$F$13=0,'Teacher Exp'!L134,0)</f>
        <v>7.1192305965106719</v>
      </c>
      <c r="AA134" s="25">
        <f t="shared" si="23"/>
        <v>425.90054094133825</v>
      </c>
      <c r="AB134" s="28"/>
      <c r="AC134" s="26">
        <f>'Student Enrollment Data'!BU135</f>
        <v>0</v>
      </c>
      <c r="AD134" s="26">
        <f t="shared" si="24"/>
        <v>22.6</v>
      </c>
      <c r="AE134" s="26">
        <f>AD134*'Front page'!$B$16</f>
        <v>0.45200000000000001</v>
      </c>
      <c r="AG134" s="6">
        <f>M134*'Front page'!$E$3</f>
        <v>957514.87222597725</v>
      </c>
      <c r="AH134" s="6">
        <f>N134*'Front page'!$E$3</f>
        <v>0</v>
      </c>
      <c r="AI134" s="6">
        <f>O134*'Front page'!$E$3</f>
        <v>74143.850725462849</v>
      </c>
      <c r="AJ134" s="6">
        <f>P134*'Front page'!$E$3</f>
        <v>52324.374654826635</v>
      </c>
      <c r="AK134" s="6">
        <f>Q134*'Front page'!$E$3</f>
        <v>54230.930816338543</v>
      </c>
      <c r="AL134" s="6">
        <f>S134*'Front page'!$E$3</f>
        <v>0</v>
      </c>
      <c r="AM134" s="5">
        <f>Z134*'Front page'!$E$3</f>
        <v>30162.695464447719</v>
      </c>
      <c r="AN134" s="6">
        <f>T134*'Front page'!$E$3</f>
        <v>1915.0297444519547</v>
      </c>
      <c r="AO134" s="6">
        <f>U134*'Front page'!$E$3</f>
        <v>0</v>
      </c>
      <c r="AP134" s="6">
        <f>W134*'Front page'!$E$3</f>
        <v>634160.02530840714</v>
      </c>
      <c r="AQ134" s="6">
        <f>V134*'Front page'!$E$3</f>
        <v>0</v>
      </c>
      <c r="AR134" s="6">
        <f>X134*'Front page'!$E$3</f>
        <v>0</v>
      </c>
      <c r="AS134" s="6">
        <f t="shared" si="25"/>
        <v>1804451.7789399121</v>
      </c>
      <c r="AT134" s="7">
        <f>IF(AS134&gt;'Funding Comparison'!D134*(1+'Front page'!$H$10),'Funding Comparison'!D134*(1+'Front page'!$H$10),AS134)</f>
        <v>1804451.7789399121</v>
      </c>
    </row>
    <row r="135" spans="1:46" s="30" customFormat="1">
      <c r="A135" s="30" t="str">
        <f t="shared" si="18"/>
        <v>470</v>
      </c>
      <c r="B135" s="30">
        <f t="shared" si="20"/>
        <v>470</v>
      </c>
      <c r="C135" s="16" t="s">
        <v>144</v>
      </c>
      <c r="D135">
        <f>IF(settings!$G$4=0,'Student Enrollment Data'!AX136,'Student Enrollment Data'!CK136)</f>
        <v>308</v>
      </c>
      <c r="E135">
        <f>IF(settings!$G$4=0,'Student Enrollment Data'!AY136,'Student Enrollment Data'!CL136)</f>
        <v>0</v>
      </c>
      <c r="F135">
        <f>IF(settings!$G$4=0,'Student Enrollment Data'!AZ136,'Student Enrollment Data'!CM136)</f>
        <v>308</v>
      </c>
      <c r="G135" s="31">
        <f>'Student Enrollment Data'!BK136</f>
        <v>31</v>
      </c>
      <c r="H135" s="30">
        <f>'Student Enrollment Data'!BF136</f>
        <v>132.43</v>
      </c>
      <c r="I135">
        <f>SUM('Student Enrollment Data'!R136:X136,'Student Enrollment Data'!AQ136:AW136)</f>
        <v>217.69346086997948</v>
      </c>
      <c r="J135" s="30">
        <f>'Student Enrollment Data'!BS136</f>
        <v>0</v>
      </c>
      <c r="K135">
        <f t="shared" si="21"/>
        <v>30.8</v>
      </c>
      <c r="L135" s="28"/>
      <c r="M135" s="30">
        <f t="shared" si="19"/>
        <v>308</v>
      </c>
      <c r="N135" s="30">
        <f>E135*'Front page'!$B$20</f>
        <v>0</v>
      </c>
      <c r="O135" s="30">
        <f>F135*'Front page'!$B$21</f>
        <v>30.8</v>
      </c>
      <c r="P135">
        <f>G135*'Front page'!$B$18</f>
        <v>20.150000000000002</v>
      </c>
      <c r="Q135" s="30">
        <f>IF(settings!$B$4=0,Calculations!H135,Calculations!I135) *'Front page'!$B$11</f>
        <v>13.243000000000002</v>
      </c>
      <c r="R135" s="31">
        <f>ROUND(I135*'Front page'!$B$9,2)</f>
        <v>0</v>
      </c>
      <c r="S135" s="30">
        <f>J135*'Front page'!$B$14</f>
        <v>0</v>
      </c>
      <c r="T135" s="103">
        <f>'Front page'!$B$16*Calculations!K135</f>
        <v>0.61599999999999999</v>
      </c>
      <c r="U135" s="103">
        <f>IF(settings!$B$13=0,(Calculations!M135*'District Wealth Adjustment'!M134)-Calculations!M135,0)</f>
        <v>0</v>
      </c>
      <c r="V135" s="185">
        <f>VLOOKUP(B135,'Remote School Building Weight'!$M$2:$P$174,3,FALSE)</f>
        <v>0</v>
      </c>
      <c r="W135" s="25">
        <f>'Small Dist Weight'!V134-Calculations!D135</f>
        <v>151.66344827586204</v>
      </c>
      <c r="X135" s="25">
        <f>IF(settings!$P$9=0,'Large District Weight'!H134*'Large District Weight'!G134,0)</f>
        <v>0</v>
      </c>
      <c r="Y135" s="25">
        <f t="shared" si="22"/>
        <v>524.47244827586201</v>
      </c>
      <c r="Z135" s="25">
        <f>IF(settings!$F$13=0,'Teacher Exp'!L135,0)</f>
        <v>8.6268254899567598</v>
      </c>
      <c r="AA135" s="25">
        <f t="shared" si="23"/>
        <v>533.09927376581879</v>
      </c>
      <c r="AB135" s="28"/>
      <c r="AC135" s="26">
        <f>'Student Enrollment Data'!BU136</f>
        <v>0</v>
      </c>
      <c r="AD135" s="26">
        <f t="shared" si="24"/>
        <v>30.8</v>
      </c>
      <c r="AE135" s="26">
        <f>AD135*'Front page'!$B$16</f>
        <v>0.61599999999999999</v>
      </c>
      <c r="AG135" s="6">
        <f>M135*'Front page'!$E$3</f>
        <v>1304931.7727681461</v>
      </c>
      <c r="AH135" s="6">
        <f>N135*'Front page'!$E$3</f>
        <v>0</v>
      </c>
      <c r="AI135" s="6">
        <f>O135*'Front page'!$E$3</f>
        <v>130493.1772768146</v>
      </c>
      <c r="AJ135" s="6">
        <f>P135*'Front page'!$E$3</f>
        <v>85371.348121032934</v>
      </c>
      <c r="AK135" s="6">
        <f>Q135*'Front page'!$E$3</f>
        <v>56107.829437560264</v>
      </c>
      <c r="AL135" s="6">
        <f>S135*'Front page'!$E$3</f>
        <v>0</v>
      </c>
      <c r="AM135" s="5">
        <f>Z135*'Front page'!$E$3</f>
        <v>36550.060649255538</v>
      </c>
      <c r="AN135" s="6">
        <f>T135*'Front page'!$E$3</f>
        <v>2609.8635455362919</v>
      </c>
      <c r="AO135" s="6">
        <f>U135*'Front page'!$E$3</f>
        <v>0</v>
      </c>
      <c r="AP135" s="6">
        <f>W135*'Front page'!$E$3</f>
        <v>642566.40396996972</v>
      </c>
      <c r="AQ135" s="6">
        <f>V135*'Front page'!$E$3</f>
        <v>0</v>
      </c>
      <c r="AR135" s="6">
        <f>X135*'Front page'!$E$3</f>
        <v>0</v>
      </c>
      <c r="AS135" s="6">
        <f t="shared" si="25"/>
        <v>2258630.4557683156</v>
      </c>
      <c r="AT135" s="7">
        <f>IF(AS135&gt;'Funding Comparison'!D135*(1+'Front page'!$H$10),'Funding Comparison'!D135*(1+'Front page'!$H$10),AS135)</f>
        <v>1867580.5257499998</v>
      </c>
    </row>
    <row r="136" spans="1:46" s="30" customFormat="1">
      <c r="A136" s="30" t="str">
        <f t="shared" si="18"/>
        <v>472</v>
      </c>
      <c r="B136" s="30">
        <f t="shared" si="20"/>
        <v>472</v>
      </c>
      <c r="C136" s="16" t="s">
        <v>145</v>
      </c>
      <c r="D136">
        <f>IF(settings!$G$4=0,'Student Enrollment Data'!AX137,'Student Enrollment Data'!CK137)</f>
        <v>171</v>
      </c>
      <c r="E136">
        <f>IF(settings!$G$4=0,'Student Enrollment Data'!AY137,'Student Enrollment Data'!CL137)</f>
        <v>80</v>
      </c>
      <c r="F136">
        <f>IF(settings!$G$4=0,'Student Enrollment Data'!AZ137,'Student Enrollment Data'!CM137)</f>
        <v>0</v>
      </c>
      <c r="G136" s="31">
        <f>'Student Enrollment Data'!BK137</f>
        <v>14</v>
      </c>
      <c r="H136" s="30">
        <f>'Student Enrollment Data'!BF137</f>
        <v>39</v>
      </c>
      <c r="I136">
        <f>SUM('Student Enrollment Data'!R137:X137,'Student Enrollment Data'!AQ137:AW137)</f>
        <v>0</v>
      </c>
      <c r="J136" s="30">
        <f>'Student Enrollment Data'!BS137</f>
        <v>0</v>
      </c>
      <c r="K136">
        <f t="shared" si="21"/>
        <v>17.100000000000001</v>
      </c>
      <c r="L136" s="28"/>
      <c r="M136" s="30">
        <f t="shared" si="19"/>
        <v>171</v>
      </c>
      <c r="N136" s="30">
        <f>E136*'Front page'!$B$20</f>
        <v>8</v>
      </c>
      <c r="O136" s="30">
        <f>F136*'Front page'!$B$21</f>
        <v>0</v>
      </c>
      <c r="P136">
        <f>G136*'Front page'!$B$18</f>
        <v>9.1</v>
      </c>
      <c r="Q136" s="30">
        <f>IF(settings!$B$4=0,Calculations!H136,Calculations!I136) *'Front page'!$B$11</f>
        <v>3.9000000000000004</v>
      </c>
      <c r="R136" s="31">
        <f>ROUND(I136*'Front page'!$B$9,2)</f>
        <v>0</v>
      </c>
      <c r="S136" s="30">
        <f>J136*'Front page'!$B$14</f>
        <v>0</v>
      </c>
      <c r="T136" s="103">
        <f>'Front page'!$B$16*Calculations!K136</f>
        <v>0.34200000000000003</v>
      </c>
      <c r="U136" s="103">
        <f>IF(settings!$B$13=0,(Calculations!M136*'District Wealth Adjustment'!M135)-Calculations!M136,0)</f>
        <v>0</v>
      </c>
      <c r="V136" s="185">
        <f>VLOOKUP(B136,'Remote School Building Weight'!$M$2:$P$174,3,FALSE)</f>
        <v>0</v>
      </c>
      <c r="W136" s="25">
        <f>'Small Dist Weight'!V135-Calculations!D136</f>
        <v>83.034098746081497</v>
      </c>
      <c r="X136" s="25">
        <f>IF(settings!$P$9=0,'Large District Weight'!H135*'Large District Weight'!G135,0)</f>
        <v>0</v>
      </c>
      <c r="Y136" s="25">
        <f t="shared" si="22"/>
        <v>275.37609874608154</v>
      </c>
      <c r="Z136" s="25">
        <f>IF(settings!$F$13=0,'Teacher Exp'!L136,0)</f>
        <v>0</v>
      </c>
      <c r="AA136" s="25">
        <f t="shared" si="23"/>
        <v>275.37609874608154</v>
      </c>
      <c r="AB136" s="28"/>
      <c r="AC136" s="26">
        <f>'Student Enrollment Data'!BU137</f>
        <v>12</v>
      </c>
      <c r="AD136" s="26">
        <f t="shared" si="24"/>
        <v>17.100000000000001</v>
      </c>
      <c r="AE136" s="26">
        <f>AD136*'Front page'!$B$16</f>
        <v>0.34200000000000003</v>
      </c>
      <c r="AG136" s="6">
        <f>M136*'Front page'!$E$3</f>
        <v>724491.34137452266</v>
      </c>
      <c r="AH136" s="6">
        <f>N136*'Front page'!$E$3</f>
        <v>33894.331760211586</v>
      </c>
      <c r="AI136" s="6">
        <f>O136*'Front page'!$E$3</f>
        <v>0</v>
      </c>
      <c r="AJ136" s="6">
        <f>P136*'Front page'!$E$3</f>
        <v>38554.802377240674</v>
      </c>
      <c r="AK136" s="6">
        <f>Q136*'Front page'!$E$3</f>
        <v>16523.486733103149</v>
      </c>
      <c r="AL136" s="6">
        <f>S136*'Front page'!$E$3</f>
        <v>0</v>
      </c>
      <c r="AM136" s="5">
        <f>Z136*'Front page'!$E$3</f>
        <v>0</v>
      </c>
      <c r="AN136" s="6">
        <f>T136*'Front page'!$E$3</f>
        <v>1448.9826827490454</v>
      </c>
      <c r="AO136" s="6">
        <f>U136*'Front page'!$E$3</f>
        <v>0</v>
      </c>
      <c r="AP136" s="6">
        <f>W136*'Front page'!$E$3</f>
        <v>351798.16128873191</v>
      </c>
      <c r="AQ136" s="6">
        <f>V136*'Front page'!$E$3</f>
        <v>0</v>
      </c>
      <c r="AR136" s="6">
        <f>X136*'Front page'!$E$3</f>
        <v>0</v>
      </c>
      <c r="AS136" s="6">
        <f t="shared" si="25"/>
        <v>1166711.106216559</v>
      </c>
      <c r="AT136" s="7">
        <f>IF(AS136&gt;'Funding Comparison'!D136*(1+'Front page'!$H$10),'Funding Comparison'!D136*(1+'Front page'!$H$10),AS136)</f>
        <v>1166711.106216559</v>
      </c>
    </row>
    <row r="137" spans="1:46" s="30" customFormat="1">
      <c r="A137" s="30" t="str">
        <f t="shared" si="18"/>
        <v>473</v>
      </c>
      <c r="B137" s="30">
        <f t="shared" si="20"/>
        <v>473</v>
      </c>
      <c r="C137" s="16" t="s">
        <v>146</v>
      </c>
      <c r="D137">
        <f>IF(settings!$G$4=0,'Student Enrollment Data'!AX138,'Student Enrollment Data'!CK138)</f>
        <v>460.5</v>
      </c>
      <c r="E137">
        <f>IF(settings!$G$4=0,'Student Enrollment Data'!AY138,'Student Enrollment Data'!CL138)</f>
        <v>182.5</v>
      </c>
      <c r="F137">
        <f>IF(settings!$G$4=0,'Student Enrollment Data'!AZ138,'Student Enrollment Data'!CM138)</f>
        <v>0</v>
      </c>
      <c r="G137" s="31">
        <f>'Student Enrollment Data'!BK138</f>
        <v>66</v>
      </c>
      <c r="H137" s="30">
        <f>'Student Enrollment Data'!BF138</f>
        <v>209.82</v>
      </c>
      <c r="I137">
        <f>SUM('Student Enrollment Data'!R138:X138,'Student Enrollment Data'!AQ138:AW138)</f>
        <v>0</v>
      </c>
      <c r="J137" s="30">
        <f>'Student Enrollment Data'!BS138</f>
        <v>0</v>
      </c>
      <c r="K137">
        <f t="shared" si="21"/>
        <v>46.050000000000004</v>
      </c>
      <c r="L137" s="28"/>
      <c r="M137" s="30">
        <f t="shared" si="19"/>
        <v>460.5</v>
      </c>
      <c r="N137" s="30">
        <f>E137*'Front page'!$B$20</f>
        <v>18.25</v>
      </c>
      <c r="O137" s="30">
        <f>F137*'Front page'!$B$21</f>
        <v>0</v>
      </c>
      <c r="P137">
        <f>G137*'Front page'!$B$18</f>
        <v>42.9</v>
      </c>
      <c r="Q137" s="30">
        <f>IF(settings!$B$4=0,Calculations!H137,Calculations!I137) *'Front page'!$B$11</f>
        <v>20.981999999999999</v>
      </c>
      <c r="R137" s="31">
        <f>ROUND(I137*'Front page'!$B$9,2)</f>
        <v>0</v>
      </c>
      <c r="S137" s="30">
        <f>J137*'Front page'!$B$14</f>
        <v>0</v>
      </c>
      <c r="T137" s="103">
        <f>'Front page'!$B$16*Calculations!K137</f>
        <v>0.92100000000000015</v>
      </c>
      <c r="U137" s="103">
        <f>IF(settings!$B$13=0,(Calculations!M137*'District Wealth Adjustment'!M136)-Calculations!M137,0)</f>
        <v>0</v>
      </c>
      <c r="V137" s="185">
        <f>VLOOKUP(B137,'Remote School Building Weight'!$M$2:$P$174,3,FALSE)</f>
        <v>0</v>
      </c>
      <c r="W137" s="25">
        <f>'Small Dist Weight'!V136-Calculations!D137</f>
        <v>89.619310344827568</v>
      </c>
      <c r="X137" s="25">
        <f>IF(settings!$P$9=0,'Large District Weight'!H136*'Large District Weight'!G136,0)</f>
        <v>0</v>
      </c>
      <c r="Y137" s="25">
        <f t="shared" si="22"/>
        <v>633.17231034482757</v>
      </c>
      <c r="Z137" s="25">
        <f>IF(settings!$F$13=0,'Teacher Exp'!L137,0)</f>
        <v>0</v>
      </c>
      <c r="AA137" s="25">
        <f t="shared" si="23"/>
        <v>633.17231034482757</v>
      </c>
      <c r="AB137" s="28"/>
      <c r="AC137" s="26">
        <f>'Student Enrollment Data'!BU138</f>
        <v>0</v>
      </c>
      <c r="AD137" s="26">
        <f t="shared" si="24"/>
        <v>46.050000000000004</v>
      </c>
      <c r="AE137" s="26">
        <f>AD137*'Front page'!$B$16</f>
        <v>0.92100000000000015</v>
      </c>
      <c r="AG137" s="6">
        <f>M137*'Front page'!$E$3</f>
        <v>1951042.4719471794</v>
      </c>
      <c r="AH137" s="6">
        <f>N137*'Front page'!$E$3</f>
        <v>77321.444327982681</v>
      </c>
      <c r="AI137" s="6">
        <f>O137*'Front page'!$E$3</f>
        <v>0</v>
      </c>
      <c r="AJ137" s="6">
        <f>P137*'Front page'!$E$3</f>
        <v>181758.35406413462</v>
      </c>
      <c r="AK137" s="6">
        <f>Q137*'Front page'!$E$3</f>
        <v>88896.358624094937</v>
      </c>
      <c r="AL137" s="6">
        <f>S137*'Front page'!$E$3</f>
        <v>0</v>
      </c>
      <c r="AM137" s="5">
        <f>Z137*'Front page'!$E$3</f>
        <v>0</v>
      </c>
      <c r="AN137" s="6">
        <f>T137*'Front page'!$E$3</f>
        <v>3902.0849438943596</v>
      </c>
      <c r="AO137" s="6">
        <f>U137*'Front page'!$E$3</f>
        <v>0</v>
      </c>
      <c r="AP137" s="6">
        <f>W137*'Front page'!$E$3</f>
        <v>379698.32961861847</v>
      </c>
      <c r="AQ137" s="6">
        <f>V137*'Front page'!$E$3</f>
        <v>0</v>
      </c>
      <c r="AR137" s="6">
        <f>X137*'Front page'!$E$3</f>
        <v>0</v>
      </c>
      <c r="AS137" s="6">
        <f t="shared" si="25"/>
        <v>2682619.0435259044</v>
      </c>
      <c r="AT137" s="7">
        <f>IF(AS137&gt;'Funding Comparison'!D137*(1+'Front page'!$H$10),'Funding Comparison'!D137*(1+'Front page'!$H$10),AS137)</f>
        <v>2050696.45575</v>
      </c>
    </row>
    <row r="138" spans="1:46" s="30" customFormat="1">
      <c r="A138" s="30" t="str">
        <f t="shared" si="18"/>
        <v>474</v>
      </c>
      <c r="B138" s="30">
        <f t="shared" si="20"/>
        <v>474</v>
      </c>
      <c r="C138" s="16" t="s">
        <v>147</v>
      </c>
      <c r="D138">
        <f>IF(settings!$G$4=0,'Student Enrollment Data'!AX139,'Student Enrollment Data'!CK139)</f>
        <v>213.5</v>
      </c>
      <c r="E138">
        <f>IF(settings!$G$4=0,'Student Enrollment Data'!AY139,'Student Enrollment Data'!CL139)</f>
        <v>119.5</v>
      </c>
      <c r="F138">
        <f>IF(settings!$G$4=0,'Student Enrollment Data'!AZ139,'Student Enrollment Data'!CM139)</f>
        <v>0</v>
      </c>
      <c r="G138" s="31">
        <f>'Student Enrollment Data'!BK139</f>
        <v>20</v>
      </c>
      <c r="H138" s="30">
        <f>'Student Enrollment Data'!BF139</f>
        <v>99.32</v>
      </c>
      <c r="I138">
        <f>SUM('Student Enrollment Data'!R139:X139,'Student Enrollment Data'!AQ139:AW139)</f>
        <v>0</v>
      </c>
      <c r="J138" s="30">
        <f>'Student Enrollment Data'!BS139</f>
        <v>14.934662727947691</v>
      </c>
      <c r="K138">
        <f t="shared" si="21"/>
        <v>21.35</v>
      </c>
      <c r="L138" s="28"/>
      <c r="M138" s="30">
        <f t="shared" si="19"/>
        <v>213.5</v>
      </c>
      <c r="N138" s="30">
        <f>E138*'Front page'!$B$20</f>
        <v>11.950000000000001</v>
      </c>
      <c r="O138" s="30">
        <f>F138*'Front page'!$B$21</f>
        <v>0</v>
      </c>
      <c r="P138">
        <f>G138*'Front page'!$B$18</f>
        <v>13</v>
      </c>
      <c r="Q138" s="30">
        <f>IF(settings!$B$4=0,Calculations!H138,Calculations!I138) *'Front page'!$B$11</f>
        <v>9.9320000000000004</v>
      </c>
      <c r="R138" s="31">
        <f>ROUND(I138*'Front page'!$B$9,2)</f>
        <v>0</v>
      </c>
      <c r="S138" s="30">
        <f>J138*'Front page'!$B$14</f>
        <v>1.4934662727947692</v>
      </c>
      <c r="T138" s="103">
        <f>'Front page'!$B$16*Calculations!K138</f>
        <v>0.42700000000000005</v>
      </c>
      <c r="U138" s="103">
        <f>IF(settings!$B$13=0,(Calculations!M138*'District Wealth Adjustment'!M137)-Calculations!M138,0)</f>
        <v>0</v>
      </c>
      <c r="V138" s="185">
        <f>VLOOKUP(B138,'Remote School Building Weight'!$M$2:$P$174,3,FALSE)</f>
        <v>0</v>
      </c>
      <c r="W138" s="25">
        <f>'Small Dist Weight'!V137-Calculations!D138</f>
        <v>60.73255681818182</v>
      </c>
      <c r="X138" s="25">
        <f>IF(settings!$P$9=0,'Large District Weight'!H137*'Large District Weight'!G137,0)</f>
        <v>0</v>
      </c>
      <c r="Y138" s="25">
        <f t="shared" si="22"/>
        <v>311.03502309097655</v>
      </c>
      <c r="Z138" s="25">
        <f>IF(settings!$F$13=0,'Teacher Exp'!L138,0)</f>
        <v>0</v>
      </c>
      <c r="AA138" s="25">
        <f t="shared" si="23"/>
        <v>311.03502309097655</v>
      </c>
      <c r="AB138" s="28"/>
      <c r="AC138" s="26">
        <f>'Student Enrollment Data'!BU139</f>
        <v>8</v>
      </c>
      <c r="AD138" s="26">
        <f t="shared" si="24"/>
        <v>21.35</v>
      </c>
      <c r="AE138" s="26">
        <f>AD138*'Front page'!$B$16</f>
        <v>0.42700000000000005</v>
      </c>
      <c r="AG138" s="6">
        <f>M138*'Front page'!$E$3</f>
        <v>904554.97885064664</v>
      </c>
      <c r="AH138" s="6">
        <f>N138*'Front page'!$E$3</f>
        <v>50629.65806681606</v>
      </c>
      <c r="AI138" s="6">
        <f>O138*'Front page'!$E$3</f>
        <v>0</v>
      </c>
      <c r="AJ138" s="6">
        <f>P138*'Front page'!$E$3</f>
        <v>55078.289110343831</v>
      </c>
      <c r="AK138" s="6">
        <f>Q138*'Front page'!$E$3</f>
        <v>42079.812880302685</v>
      </c>
      <c r="AL138" s="6">
        <f>S138*'Front page'!$E$3</f>
        <v>6327.5051653490709</v>
      </c>
      <c r="AM138" s="5">
        <f>Z138*'Front page'!$E$3</f>
        <v>0</v>
      </c>
      <c r="AN138" s="6">
        <f>T138*'Front page'!$E$3</f>
        <v>1809.1099577012935</v>
      </c>
      <c r="AO138" s="6">
        <f>U138*'Front page'!$E$3</f>
        <v>0</v>
      </c>
      <c r="AP138" s="6">
        <f>W138*'Front page'!$E$3</f>
        <v>257311.17868016934</v>
      </c>
      <c r="AQ138" s="6">
        <f>V138*'Front page'!$E$3</f>
        <v>0</v>
      </c>
      <c r="AR138" s="6">
        <f>X138*'Front page'!$E$3</f>
        <v>0</v>
      </c>
      <c r="AS138" s="6">
        <f t="shared" si="25"/>
        <v>1317790.5327113289</v>
      </c>
      <c r="AT138" s="7">
        <f>IF(AS138&gt;'Funding Comparison'!D138*(1+'Front page'!$H$10),'Funding Comparison'!D138*(1+'Front page'!$H$10),AS138)</f>
        <v>970149.39124999999</v>
      </c>
    </row>
    <row r="139" spans="1:46" s="30" customFormat="1">
      <c r="A139" s="30" t="str">
        <f t="shared" si="18"/>
        <v>475</v>
      </c>
      <c r="B139" s="30">
        <f t="shared" si="20"/>
        <v>475</v>
      </c>
      <c r="C139" s="16" t="s">
        <v>148</v>
      </c>
      <c r="D139">
        <f>IF(settings!$G$4=0,'Student Enrollment Data'!AX140,'Student Enrollment Data'!CK140)</f>
        <v>956.5</v>
      </c>
      <c r="E139">
        <f>IF(settings!$G$4=0,'Student Enrollment Data'!AY140,'Student Enrollment Data'!CL140)</f>
        <v>262.5</v>
      </c>
      <c r="F139">
        <f>IF(settings!$G$4=0,'Student Enrollment Data'!AZ140,'Student Enrollment Data'!CM140)</f>
        <v>239</v>
      </c>
      <c r="G139" s="31">
        <f>'Student Enrollment Data'!BK140</f>
        <v>63</v>
      </c>
      <c r="H139" s="30">
        <f>'Student Enrollment Data'!BF140</f>
        <v>360</v>
      </c>
      <c r="I139">
        <f>SUM('Student Enrollment Data'!R140:X140,'Student Enrollment Data'!AQ140:AW140)</f>
        <v>0</v>
      </c>
      <c r="J139" s="30">
        <f>'Student Enrollment Data'!BS140</f>
        <v>17</v>
      </c>
      <c r="K139">
        <f t="shared" si="21"/>
        <v>95.65</v>
      </c>
      <c r="L139" s="28"/>
      <c r="M139" s="30">
        <f t="shared" si="19"/>
        <v>956.5</v>
      </c>
      <c r="N139" s="30">
        <f>E139*'Front page'!$B$20</f>
        <v>26.25</v>
      </c>
      <c r="O139" s="30">
        <f>F139*'Front page'!$B$21</f>
        <v>23.900000000000002</v>
      </c>
      <c r="P139">
        <f>G139*'Front page'!$B$18</f>
        <v>40.950000000000003</v>
      </c>
      <c r="Q139" s="30">
        <f>IF(settings!$B$4=0,Calculations!H139,Calculations!I139) *'Front page'!$B$11</f>
        <v>36</v>
      </c>
      <c r="R139" s="31">
        <f>ROUND(I139*'Front page'!$B$9,2)</f>
        <v>0</v>
      </c>
      <c r="S139" s="30">
        <f>J139*'Front page'!$B$14</f>
        <v>1.7000000000000002</v>
      </c>
      <c r="T139" s="103">
        <f>'Front page'!$B$16*Calculations!K139</f>
        <v>1.9130000000000003</v>
      </c>
      <c r="U139" s="103">
        <f>IF(settings!$B$13=0,(Calculations!M139*'District Wealth Adjustment'!M138)-Calculations!M139,0)</f>
        <v>0</v>
      </c>
      <c r="V139" s="185">
        <f>VLOOKUP(B139,'Remote School Building Weight'!$M$2:$P$174,3,FALSE)</f>
        <v>0</v>
      </c>
      <c r="W139" s="25">
        <f>'Small Dist Weight'!V138-Calculations!D139</f>
        <v>115.23025862068971</v>
      </c>
      <c r="X139" s="25">
        <f>IF(settings!$P$9=0,'Large District Weight'!H138*'Large District Weight'!G138,0)</f>
        <v>0</v>
      </c>
      <c r="Y139" s="25">
        <f t="shared" si="22"/>
        <v>1202.4432586206897</v>
      </c>
      <c r="Z139" s="25">
        <f>IF(settings!$F$13=0,'Teacher Exp'!L139,0)</f>
        <v>0</v>
      </c>
      <c r="AA139" s="25">
        <f t="shared" si="23"/>
        <v>1202.4432586206897</v>
      </c>
      <c r="AB139" s="28"/>
      <c r="AC139" s="26">
        <f>'Student Enrollment Data'!BU140</f>
        <v>0</v>
      </c>
      <c r="AD139" s="26">
        <f t="shared" si="24"/>
        <v>95.65</v>
      </c>
      <c r="AE139" s="26">
        <f>AD139*'Front page'!$B$16</f>
        <v>1.9130000000000003</v>
      </c>
      <c r="AG139" s="6">
        <f>M139*'Front page'!$E$3</f>
        <v>4052491.0410802979</v>
      </c>
      <c r="AH139" s="6">
        <f>N139*'Front page'!$E$3</f>
        <v>111215.77608819427</v>
      </c>
      <c r="AI139" s="6">
        <f>O139*'Front page'!$E$3</f>
        <v>101259.31613363212</v>
      </c>
      <c r="AJ139" s="6">
        <f>P139*'Front page'!$E$3</f>
        <v>173496.61069758306</v>
      </c>
      <c r="AK139" s="6">
        <f>Q139*'Front page'!$E$3</f>
        <v>152524.49292095215</v>
      </c>
      <c r="AL139" s="6">
        <f>S139*'Front page'!$E$3</f>
        <v>7202.5454990449625</v>
      </c>
      <c r="AM139" s="5">
        <f>Z139*'Front page'!$E$3</f>
        <v>0</v>
      </c>
      <c r="AN139" s="6">
        <f>T139*'Front page'!$E$3</f>
        <v>8104.9820821605963</v>
      </c>
      <c r="AO139" s="6">
        <f>U139*'Front page'!$E$3</f>
        <v>0</v>
      </c>
      <c r="AP139" s="6">
        <f>W139*'Front page'!$E$3</f>
        <v>488206.57681307977</v>
      </c>
      <c r="AQ139" s="6">
        <f>V139*'Front page'!$E$3</f>
        <v>0</v>
      </c>
      <c r="AR139" s="6">
        <f>X139*'Front page'!$E$3</f>
        <v>0</v>
      </c>
      <c r="AS139" s="6">
        <f t="shared" si="25"/>
        <v>5094501.3413149444</v>
      </c>
      <c r="AT139" s="7">
        <f>IF(AS139&gt;'Funding Comparison'!D139*(1+'Front page'!$H$10),'Funding Comparison'!D139*(1+'Front page'!$H$10),AS139)</f>
        <v>5094501.3413149444</v>
      </c>
    </row>
    <row r="140" spans="1:46" s="30" customFormat="1">
      <c r="A140" s="30" t="str">
        <f t="shared" si="18"/>
        <v>476</v>
      </c>
      <c r="B140" s="30">
        <f t="shared" si="20"/>
        <v>476</v>
      </c>
      <c r="C140" s="16" t="s">
        <v>149</v>
      </c>
      <c r="D140">
        <f>IF(settings!$G$4=0,'Student Enrollment Data'!AX141,'Student Enrollment Data'!CK141)</f>
        <v>527</v>
      </c>
      <c r="E140">
        <f>IF(settings!$G$4=0,'Student Enrollment Data'!AY141,'Student Enrollment Data'!CL141)</f>
        <v>57</v>
      </c>
      <c r="F140">
        <f>IF(settings!$G$4=0,'Student Enrollment Data'!AZ141,'Student Enrollment Data'!CM141)</f>
        <v>293</v>
      </c>
      <c r="G140" s="31">
        <f>'Student Enrollment Data'!BK141</f>
        <v>153</v>
      </c>
      <c r="H140" s="30">
        <f>'Student Enrollment Data'!BF141</f>
        <v>133</v>
      </c>
      <c r="I140">
        <f>SUM('Student Enrollment Data'!R141:X141,'Student Enrollment Data'!AQ141:AW141)</f>
        <v>34.447058823529417</v>
      </c>
      <c r="J140" s="30">
        <f>'Student Enrollment Data'!BS141</f>
        <v>7</v>
      </c>
      <c r="K140">
        <f t="shared" si="21"/>
        <v>52.7</v>
      </c>
      <c r="L140" s="28"/>
      <c r="M140" s="30">
        <f t="shared" si="19"/>
        <v>527</v>
      </c>
      <c r="N140" s="30">
        <f>E140*'Front page'!$B$20</f>
        <v>5.7</v>
      </c>
      <c r="O140" s="30">
        <f>F140*'Front page'!$B$21</f>
        <v>29.3</v>
      </c>
      <c r="P140">
        <f>G140*'Front page'!$B$18</f>
        <v>99.45</v>
      </c>
      <c r="Q140" s="30">
        <f>IF(settings!$B$4=0,Calculations!H140,Calculations!I140) *'Front page'!$B$11</f>
        <v>13.3</v>
      </c>
      <c r="R140" s="31">
        <f>ROUND(I140*'Front page'!$B$9,2)</f>
        <v>0</v>
      </c>
      <c r="S140" s="30">
        <f>J140*'Front page'!$B$14</f>
        <v>0.70000000000000007</v>
      </c>
      <c r="T140" s="103">
        <f>'Front page'!$B$16*Calculations!K140</f>
        <v>1.054</v>
      </c>
      <c r="U140" s="103">
        <f>IF(settings!$B$13=0,(Calculations!M140*'District Wealth Adjustment'!M139)-Calculations!M140,0)</f>
        <v>0</v>
      </c>
      <c r="V140" s="185">
        <f>VLOOKUP(B140,'Remote School Building Weight'!$M$2:$P$174,3,FALSE)</f>
        <v>0</v>
      </c>
      <c r="W140" s="25">
        <f>'Small Dist Weight'!V139-Calculations!D140</f>
        <v>184.74091692789966</v>
      </c>
      <c r="X140" s="25">
        <f>IF(settings!$P$9=0,'Large District Weight'!H139*'Large District Weight'!G139,0)</f>
        <v>0</v>
      </c>
      <c r="Y140" s="25">
        <f t="shared" si="22"/>
        <v>861.24491692789968</v>
      </c>
      <c r="Z140" s="25">
        <f>IF(settings!$F$13=0,'Teacher Exp'!L140,0)</f>
        <v>5.6543523872813628</v>
      </c>
      <c r="AA140" s="25">
        <f t="shared" si="23"/>
        <v>866.89926931518107</v>
      </c>
      <c r="AB140" s="28"/>
      <c r="AC140" s="26">
        <f>'Student Enrollment Data'!BU141</f>
        <v>0</v>
      </c>
      <c r="AD140" s="26">
        <f t="shared" si="24"/>
        <v>52.7</v>
      </c>
      <c r="AE140" s="26">
        <f>AD140*'Front page'!$B$16</f>
        <v>1.054</v>
      </c>
      <c r="AG140" s="6">
        <f>M140*'Front page'!$E$3</f>
        <v>2232789.1047039381</v>
      </c>
      <c r="AH140" s="6">
        <f>N140*'Front page'!$E$3</f>
        <v>24149.711379150755</v>
      </c>
      <c r="AI140" s="6">
        <f>O140*'Front page'!$E$3</f>
        <v>124137.99007177494</v>
      </c>
      <c r="AJ140" s="6">
        <f>P140*'Front page'!$E$3</f>
        <v>421348.91169413028</v>
      </c>
      <c r="AK140" s="6">
        <f>Q140*'Front page'!$E$3</f>
        <v>56349.326551351762</v>
      </c>
      <c r="AL140" s="6">
        <f>S140*'Front page'!$E$3</f>
        <v>2965.7540290185138</v>
      </c>
      <c r="AM140" s="5">
        <f>Z140*'Front page'!$E$3</f>
        <v>23956.311962957363</v>
      </c>
      <c r="AN140" s="6">
        <f>T140*'Front page'!$E$3</f>
        <v>4465.5782094078768</v>
      </c>
      <c r="AO140" s="6">
        <f>U140*'Front page'!$E$3</f>
        <v>0</v>
      </c>
      <c r="AP140" s="6">
        <f>W140*'Front page'!$E$3</f>
        <v>782708.74100498995</v>
      </c>
      <c r="AQ140" s="6">
        <f>V140*'Front page'!$E$3</f>
        <v>0</v>
      </c>
      <c r="AR140" s="6">
        <f>X140*'Front page'!$E$3</f>
        <v>0</v>
      </c>
      <c r="AS140" s="6">
        <f t="shared" si="25"/>
        <v>3672871.4296067199</v>
      </c>
      <c r="AT140" s="7">
        <f>IF(AS140&gt;'Funding Comparison'!D140*(1+'Front page'!$H$10),'Funding Comparison'!D140*(1+'Front page'!$H$10),AS140)</f>
        <v>3565657.2552499999</v>
      </c>
    </row>
    <row r="141" spans="1:46" s="30" customFormat="1">
      <c r="A141" s="30" t="str">
        <f t="shared" si="18"/>
        <v>477</v>
      </c>
      <c r="B141" s="30">
        <f t="shared" si="20"/>
        <v>477</v>
      </c>
      <c r="C141" s="16" t="s">
        <v>150</v>
      </c>
      <c r="D141">
        <f>IF(settings!$G$4=0,'Student Enrollment Data'!AX142,'Student Enrollment Data'!CK142)</f>
        <v>591</v>
      </c>
      <c r="E141">
        <f>IF(settings!$G$4=0,'Student Enrollment Data'!AY142,'Student Enrollment Data'!CL142)</f>
        <v>314</v>
      </c>
      <c r="F141">
        <f>IF(settings!$G$4=0,'Student Enrollment Data'!AZ142,'Student Enrollment Data'!CM142)</f>
        <v>0</v>
      </c>
      <c r="G141" s="31">
        <f>'Student Enrollment Data'!BK142</f>
        <v>58</v>
      </c>
      <c r="H141" s="30">
        <f>'Student Enrollment Data'!BF142</f>
        <v>280</v>
      </c>
      <c r="I141">
        <f>SUM('Student Enrollment Data'!R142:X142,'Student Enrollment Data'!AQ142:AW142)</f>
        <v>0</v>
      </c>
      <c r="J141" s="30">
        <f>'Student Enrollment Data'!BS142</f>
        <v>16</v>
      </c>
      <c r="K141">
        <f t="shared" si="21"/>
        <v>59.1</v>
      </c>
      <c r="L141" s="28"/>
      <c r="M141" s="30">
        <f t="shared" si="19"/>
        <v>591</v>
      </c>
      <c r="N141" s="30">
        <f>E141*'Front page'!$B$20</f>
        <v>31.400000000000002</v>
      </c>
      <c r="O141" s="30">
        <f>F141*'Front page'!$B$21</f>
        <v>0</v>
      </c>
      <c r="P141">
        <f>G141*'Front page'!$B$18</f>
        <v>37.700000000000003</v>
      </c>
      <c r="Q141" s="30">
        <f>IF(settings!$B$4=0,Calculations!H141,Calculations!I141) *'Front page'!$B$11</f>
        <v>28</v>
      </c>
      <c r="R141" s="31">
        <f>ROUND(I141*'Front page'!$B$9,2)</f>
        <v>0</v>
      </c>
      <c r="S141" s="30">
        <f>J141*'Front page'!$B$14</f>
        <v>1.6</v>
      </c>
      <c r="T141" s="103">
        <f>'Front page'!$B$16*Calculations!K141</f>
        <v>1.1820000000000002</v>
      </c>
      <c r="U141" s="103">
        <f>IF(settings!$B$13=0,(Calculations!M141*'District Wealth Adjustment'!M140)-Calculations!M141,0)</f>
        <v>0</v>
      </c>
      <c r="V141" s="185">
        <f>VLOOKUP(B141,'Remote School Building Weight'!$M$2:$P$174,3,FALSE)</f>
        <v>0</v>
      </c>
      <c r="W141" s="25">
        <f>'Small Dist Weight'!V140-Calculations!D141</f>
        <v>86.896551724137908</v>
      </c>
      <c r="X141" s="25">
        <f>IF(settings!$P$9=0,'Large District Weight'!H140*'Large District Weight'!G140,0)</f>
        <v>0</v>
      </c>
      <c r="Y141" s="25">
        <f t="shared" si="22"/>
        <v>777.77855172413797</v>
      </c>
      <c r="Z141" s="25">
        <f>IF(settings!$F$13=0,'Teacher Exp'!L141,0)</f>
        <v>0</v>
      </c>
      <c r="AA141" s="25">
        <f t="shared" si="23"/>
        <v>777.77855172413797</v>
      </c>
      <c r="AB141" s="28"/>
      <c r="AC141" s="26">
        <f>'Student Enrollment Data'!BU142</f>
        <v>29</v>
      </c>
      <c r="AD141" s="26">
        <f t="shared" si="24"/>
        <v>59.1</v>
      </c>
      <c r="AE141" s="26">
        <f>AD141*'Front page'!$B$16</f>
        <v>1.1820000000000002</v>
      </c>
      <c r="AG141" s="6">
        <f>M141*'Front page'!$E$3</f>
        <v>2503943.758785631</v>
      </c>
      <c r="AH141" s="6">
        <f>N141*'Front page'!$E$3</f>
        <v>133035.2521588305</v>
      </c>
      <c r="AI141" s="6">
        <f>O141*'Front page'!$E$3</f>
        <v>0</v>
      </c>
      <c r="AJ141" s="6">
        <f>P141*'Front page'!$E$3</f>
        <v>159727.03841999712</v>
      </c>
      <c r="AK141" s="6">
        <f>Q141*'Front page'!$E$3</f>
        <v>118630.16116074055</v>
      </c>
      <c r="AL141" s="6">
        <f>S141*'Front page'!$E$3</f>
        <v>6778.8663520423179</v>
      </c>
      <c r="AM141" s="5">
        <f>Z141*'Front page'!$E$3</f>
        <v>0</v>
      </c>
      <c r="AN141" s="6">
        <f>T141*'Front page'!$E$3</f>
        <v>5007.8875175712628</v>
      </c>
      <c r="AO141" s="6">
        <f>U141*'Front page'!$E$3</f>
        <v>0</v>
      </c>
      <c r="AP141" s="6">
        <f>W141*'Front page'!$E$3</f>
        <v>368162.56911953952</v>
      </c>
      <c r="AQ141" s="6">
        <f>V141*'Front page'!$E$3</f>
        <v>0</v>
      </c>
      <c r="AR141" s="6">
        <f>X141*'Front page'!$E$3</f>
        <v>0</v>
      </c>
      <c r="AS141" s="6">
        <f t="shared" si="25"/>
        <v>3295285.5335143525</v>
      </c>
      <c r="AT141" s="7">
        <f>IF(AS141&gt;'Funding Comparison'!D141*(1+'Front page'!$H$10),'Funding Comparison'!D141*(1+'Front page'!$H$10),AS141)</f>
        <v>2950902.5629999996</v>
      </c>
    </row>
    <row r="142" spans="1:46" s="30" customFormat="1">
      <c r="A142" s="30" t="str">
        <f t="shared" si="18"/>
        <v>478</v>
      </c>
      <c r="B142" s="30">
        <f t="shared" si="20"/>
        <v>478</v>
      </c>
      <c r="C142" s="16" t="s">
        <v>151</v>
      </c>
      <c r="D142">
        <f>IF(settings!$G$4=0,'Student Enrollment Data'!AX143,'Student Enrollment Data'!CK143)</f>
        <v>287</v>
      </c>
      <c r="E142">
        <f>IF(settings!$G$4=0,'Student Enrollment Data'!AY143,'Student Enrollment Data'!CL143)</f>
        <v>100</v>
      </c>
      <c r="F142">
        <f>IF(settings!$G$4=0,'Student Enrollment Data'!AZ143,'Student Enrollment Data'!CM143)</f>
        <v>0</v>
      </c>
      <c r="G142" s="31">
        <f>'Student Enrollment Data'!BK143</f>
        <v>23</v>
      </c>
      <c r="H142" s="30">
        <f>'Student Enrollment Data'!BF143</f>
        <v>108</v>
      </c>
      <c r="I142">
        <f>SUM('Student Enrollment Data'!R143:X143,'Student Enrollment Data'!AQ143:AW143)</f>
        <v>0</v>
      </c>
      <c r="J142" s="30">
        <f>'Student Enrollment Data'!BS143</f>
        <v>0</v>
      </c>
      <c r="K142">
        <f t="shared" si="21"/>
        <v>28.700000000000003</v>
      </c>
      <c r="L142" s="28"/>
      <c r="M142" s="30">
        <f t="shared" si="19"/>
        <v>287</v>
      </c>
      <c r="N142" s="30">
        <f>E142*'Front page'!$B$20</f>
        <v>10</v>
      </c>
      <c r="O142" s="30">
        <f>F142*'Front page'!$B$21</f>
        <v>0</v>
      </c>
      <c r="P142">
        <f>G142*'Front page'!$B$18</f>
        <v>14.950000000000001</v>
      </c>
      <c r="Q142" s="30">
        <f>IF(settings!$B$4=0,Calculations!H142,Calculations!I142) *'Front page'!$B$11</f>
        <v>10.8</v>
      </c>
      <c r="R142" s="31">
        <f>ROUND(I142*'Front page'!$B$9,2)</f>
        <v>0</v>
      </c>
      <c r="S142" s="30">
        <f>J142*'Front page'!$B$14</f>
        <v>0</v>
      </c>
      <c r="T142" s="103">
        <f>'Front page'!$B$16*Calculations!K142</f>
        <v>0.57400000000000007</v>
      </c>
      <c r="U142" s="103">
        <f>IF(settings!$B$13=0,(Calculations!M142*'District Wealth Adjustment'!M141)-Calculations!M142,0)</f>
        <v>0</v>
      </c>
      <c r="V142" s="185">
        <f>VLOOKUP(B142,'Remote School Building Weight'!$M$2:$P$174,3,FALSE)</f>
        <v>0</v>
      </c>
      <c r="W142" s="25">
        <f>'Small Dist Weight'!V141-Calculations!D142</f>
        <v>106.49539968652039</v>
      </c>
      <c r="X142" s="25">
        <f>IF(settings!$P$9=0,'Large District Weight'!H141*'Large District Weight'!G141,0)</f>
        <v>0</v>
      </c>
      <c r="Y142" s="25">
        <f t="shared" si="22"/>
        <v>429.8193996865204</v>
      </c>
      <c r="Z142" s="25">
        <f>IF(settings!$F$13=0,'Teacher Exp'!L142,0)</f>
        <v>0</v>
      </c>
      <c r="AA142" s="25">
        <f t="shared" si="23"/>
        <v>429.8193996865204</v>
      </c>
      <c r="AB142" s="28"/>
      <c r="AC142" s="26">
        <f>'Student Enrollment Data'!BU143</f>
        <v>0</v>
      </c>
      <c r="AD142" s="26">
        <f t="shared" si="24"/>
        <v>28.700000000000003</v>
      </c>
      <c r="AE142" s="26">
        <f>AD142*'Front page'!$B$16</f>
        <v>0.57400000000000007</v>
      </c>
      <c r="AG142" s="6">
        <f>M142*'Front page'!$E$3</f>
        <v>1215959.1518975906</v>
      </c>
      <c r="AH142" s="6">
        <f>N142*'Front page'!$E$3</f>
        <v>42367.914700264482</v>
      </c>
      <c r="AI142" s="6">
        <f>O142*'Front page'!$E$3</f>
        <v>0</v>
      </c>
      <c r="AJ142" s="6">
        <f>P142*'Front page'!$E$3</f>
        <v>63340.032476895409</v>
      </c>
      <c r="AK142" s="6">
        <f>Q142*'Front page'!$E$3</f>
        <v>45757.347876285647</v>
      </c>
      <c r="AL142" s="6">
        <f>S142*'Front page'!$E$3</f>
        <v>0</v>
      </c>
      <c r="AM142" s="5">
        <f>Z142*'Front page'!$E$3</f>
        <v>0</v>
      </c>
      <c r="AN142" s="6">
        <f>T142*'Front page'!$E$3</f>
        <v>2431.9183037951816</v>
      </c>
      <c r="AO142" s="6">
        <f>U142*'Front page'!$E$3</f>
        <v>0</v>
      </c>
      <c r="AP142" s="6">
        <f>W142*'Front page'!$E$3</f>
        <v>451198.80098890688</v>
      </c>
      <c r="AQ142" s="6">
        <f>V142*'Front page'!$E$3</f>
        <v>0</v>
      </c>
      <c r="AR142" s="6">
        <f>X142*'Front page'!$E$3</f>
        <v>0</v>
      </c>
      <c r="AS142" s="6">
        <f t="shared" si="25"/>
        <v>1821055.1662437385</v>
      </c>
      <c r="AT142" s="7">
        <f>IF(AS142&gt;'Funding Comparison'!D142*(1+'Front page'!$H$10),'Funding Comparison'!D142*(1+'Front page'!$H$10),AS142)</f>
        <v>1821055.1662437385</v>
      </c>
    </row>
    <row r="143" spans="1:46" s="30" customFormat="1">
      <c r="A143" s="30" t="str">
        <f t="shared" si="18"/>
        <v>479</v>
      </c>
      <c r="B143" s="30">
        <f t="shared" si="20"/>
        <v>479</v>
      </c>
      <c r="C143" s="16" t="s">
        <v>152</v>
      </c>
      <c r="D143">
        <f>IF(settings!$G$4=0,'Student Enrollment Data'!AX144,'Student Enrollment Data'!CK144)</f>
        <v>161</v>
      </c>
      <c r="E143">
        <f>IF(settings!$G$4=0,'Student Enrollment Data'!AY144,'Student Enrollment Data'!CL144)</f>
        <v>57</v>
      </c>
      <c r="F143">
        <f>IF(settings!$G$4=0,'Student Enrollment Data'!AZ144,'Student Enrollment Data'!CM144)</f>
        <v>0</v>
      </c>
      <c r="G143" s="31">
        <f>'Student Enrollment Data'!BK144</f>
        <v>29</v>
      </c>
      <c r="H143" s="30">
        <f>'Student Enrollment Data'!BF144</f>
        <v>73.95</v>
      </c>
      <c r="I143">
        <f>SUM('Student Enrollment Data'!R144:X144,'Student Enrollment Data'!AQ144:AW144)</f>
        <v>0</v>
      </c>
      <c r="J143" s="30">
        <f>'Student Enrollment Data'!BS144</f>
        <v>12.452381265529278</v>
      </c>
      <c r="K143">
        <f t="shared" si="21"/>
        <v>16.100000000000001</v>
      </c>
      <c r="L143" s="28"/>
      <c r="M143" s="30">
        <f t="shared" si="19"/>
        <v>161</v>
      </c>
      <c r="N143" s="30">
        <f>E143*'Front page'!$B$20</f>
        <v>5.7</v>
      </c>
      <c r="O143" s="30">
        <f>F143*'Front page'!$B$21</f>
        <v>0</v>
      </c>
      <c r="P143">
        <f>G143*'Front page'!$B$18</f>
        <v>18.850000000000001</v>
      </c>
      <c r="Q143" s="30">
        <f>IF(settings!$B$4=0,Calculations!H143,Calculations!I143) *'Front page'!$B$11</f>
        <v>7.3950000000000005</v>
      </c>
      <c r="R143" s="31">
        <f>ROUND(I143*'Front page'!$B$9,2)</f>
        <v>0</v>
      </c>
      <c r="S143" s="30">
        <f>J143*'Front page'!$B$14</f>
        <v>1.2452381265529278</v>
      </c>
      <c r="T143" s="103">
        <f>'Front page'!$B$16*Calculations!K143</f>
        <v>0.32200000000000001</v>
      </c>
      <c r="U143" s="103">
        <f>IF(settings!$B$13=0,(Calculations!M143*'District Wealth Adjustment'!M142)-Calculations!M143,0)</f>
        <v>0</v>
      </c>
      <c r="V143" s="185">
        <f>VLOOKUP(B143,'Remote School Building Weight'!$M$2:$P$174,3,FALSE)</f>
        <v>0</v>
      </c>
      <c r="W143" s="25">
        <f>'Small Dist Weight'!V142-Calculations!D143</f>
        <v>105.71936520376175</v>
      </c>
      <c r="X143" s="25">
        <f>IF(settings!$P$9=0,'Large District Weight'!H142*'Large District Weight'!G142,0)</f>
        <v>0</v>
      </c>
      <c r="Y143" s="25">
        <f t="shared" si="22"/>
        <v>300.23160333031467</v>
      </c>
      <c r="Z143" s="25">
        <f>IF(settings!$F$13=0,'Teacher Exp'!L143,0)</f>
        <v>0</v>
      </c>
      <c r="AA143" s="25">
        <f t="shared" si="23"/>
        <v>300.23160333031467</v>
      </c>
      <c r="AB143" s="28"/>
      <c r="AC143" s="26">
        <f>'Student Enrollment Data'!BU144</f>
        <v>18</v>
      </c>
      <c r="AD143" s="26">
        <f t="shared" si="24"/>
        <v>16.100000000000001</v>
      </c>
      <c r="AE143" s="26">
        <f>AD143*'Front page'!$B$16</f>
        <v>0.32200000000000001</v>
      </c>
      <c r="AG143" s="6">
        <f>M143*'Front page'!$E$3</f>
        <v>682123.4266742582</v>
      </c>
      <c r="AH143" s="6">
        <f>N143*'Front page'!$E$3</f>
        <v>24149.711379150755</v>
      </c>
      <c r="AI143" s="6">
        <f>O143*'Front page'!$E$3</f>
        <v>0</v>
      </c>
      <c r="AJ143" s="6">
        <f>P143*'Front page'!$E$3</f>
        <v>79863.519209998558</v>
      </c>
      <c r="AK143" s="6">
        <f>Q143*'Front page'!$E$3</f>
        <v>31331.072920845585</v>
      </c>
      <c r="AL143" s="6">
        <f>S143*'Front page'!$E$3</f>
        <v>5275.8142727311588</v>
      </c>
      <c r="AM143" s="5">
        <f>Z143*'Front page'!$E$3</f>
        <v>0</v>
      </c>
      <c r="AN143" s="6">
        <f>T143*'Front page'!$E$3</f>
        <v>1364.2468533485164</v>
      </c>
      <c r="AO143" s="6">
        <f>U143*'Front page'!$E$3</f>
        <v>0</v>
      </c>
      <c r="AP143" s="6">
        <f>W143*'Front page'!$E$3</f>
        <v>447910.90471190872</v>
      </c>
      <c r="AQ143" s="6">
        <f>V143*'Front page'!$E$3</f>
        <v>0</v>
      </c>
      <c r="AR143" s="6">
        <f>X143*'Front page'!$E$3</f>
        <v>0</v>
      </c>
      <c r="AS143" s="6">
        <f t="shared" si="25"/>
        <v>1272018.6960222416</v>
      </c>
      <c r="AT143" s="7">
        <f>IF(AS143&gt;'Funding Comparison'!D143*(1+'Front page'!$H$10),'Funding Comparison'!D143*(1+'Front page'!$H$10),AS143)</f>
        <v>1090601.6469999999</v>
      </c>
    </row>
    <row r="144" spans="1:46" s="30" customFormat="1">
      <c r="A144" s="30" t="str">
        <f t="shared" si="18"/>
        <v>480</v>
      </c>
      <c r="B144" s="30">
        <f t="shared" si="20"/>
        <v>480</v>
      </c>
      <c r="C144" s="16" t="s">
        <v>153</v>
      </c>
      <c r="D144">
        <f>IF(settings!$G$4=0,'Student Enrollment Data'!AX145,'Student Enrollment Data'!CK145)</f>
        <v>504.5</v>
      </c>
      <c r="E144">
        <f>IF(settings!$G$4=0,'Student Enrollment Data'!AY145,'Student Enrollment Data'!CL145)</f>
        <v>180.5</v>
      </c>
      <c r="F144">
        <f>IF(settings!$G$4=0,'Student Enrollment Data'!AZ145,'Student Enrollment Data'!CM145)</f>
        <v>52</v>
      </c>
      <c r="G144" s="31">
        <f>'Student Enrollment Data'!BK145</f>
        <v>9</v>
      </c>
      <c r="H144" s="30">
        <f>'Student Enrollment Data'!BF145</f>
        <v>159</v>
      </c>
      <c r="I144">
        <f>SUM('Student Enrollment Data'!R145:X145,'Student Enrollment Data'!AQ145:AW145)</f>
        <v>0</v>
      </c>
      <c r="J144" s="30">
        <f>'Student Enrollment Data'!BS145</f>
        <v>0</v>
      </c>
      <c r="K144">
        <f t="shared" si="21"/>
        <v>50.45</v>
      </c>
      <c r="L144" s="28"/>
      <c r="M144" s="30">
        <f t="shared" si="19"/>
        <v>504.5</v>
      </c>
      <c r="N144" s="30">
        <f>E144*'Front page'!$B$20</f>
        <v>18.05</v>
      </c>
      <c r="O144" s="30">
        <f>F144*'Front page'!$B$21</f>
        <v>5.2</v>
      </c>
      <c r="P144">
        <f>G144*'Front page'!$B$18</f>
        <v>5.8500000000000005</v>
      </c>
      <c r="Q144" s="30">
        <f>IF(settings!$B$4=0,Calculations!H144,Calculations!I144) *'Front page'!$B$11</f>
        <v>15.9</v>
      </c>
      <c r="R144" s="31">
        <f>ROUND(I144*'Front page'!$B$9,2)</f>
        <v>0</v>
      </c>
      <c r="S144" s="30">
        <f>J144*'Front page'!$B$14</f>
        <v>0</v>
      </c>
      <c r="T144" s="103">
        <f>'Front page'!$B$16*Calculations!K144</f>
        <v>1.0090000000000001</v>
      </c>
      <c r="U144" s="103">
        <f>IF(settings!$B$13=0,(Calculations!M144*'District Wealth Adjustment'!M143)-Calculations!M144,0)</f>
        <v>0</v>
      </c>
      <c r="V144" s="185">
        <f>VLOOKUP(B144,'Remote School Building Weight'!$M$2:$P$174,3,FALSE)</f>
        <v>0</v>
      </c>
      <c r="W144" s="25">
        <f>'Small Dist Weight'!V143-Calculations!D144</f>
        <v>114.1875</v>
      </c>
      <c r="X144" s="25">
        <f>IF(settings!$P$9=0,'Large District Weight'!H143*'Large District Weight'!G143,0)</f>
        <v>0</v>
      </c>
      <c r="Y144" s="25">
        <f t="shared" si="22"/>
        <v>664.69650000000001</v>
      </c>
      <c r="Z144" s="25">
        <f>IF(settings!$F$13=0,'Teacher Exp'!L144,0)</f>
        <v>0</v>
      </c>
      <c r="AA144" s="25">
        <f t="shared" si="23"/>
        <v>664.69650000000001</v>
      </c>
      <c r="AB144" s="28"/>
      <c r="AC144" s="26">
        <f>'Student Enrollment Data'!BU145</f>
        <v>40</v>
      </c>
      <c r="AD144" s="26">
        <f t="shared" si="24"/>
        <v>50.45</v>
      </c>
      <c r="AE144" s="26">
        <f>AD144*'Front page'!$B$16</f>
        <v>1.0090000000000001</v>
      </c>
      <c r="AG144" s="6">
        <f>M144*'Front page'!$E$3</f>
        <v>2137461.2966283429</v>
      </c>
      <c r="AH144" s="6">
        <f>N144*'Front page'!$E$3</f>
        <v>76474.086033977394</v>
      </c>
      <c r="AI144" s="6">
        <f>O144*'Front page'!$E$3</f>
        <v>22031.315644137532</v>
      </c>
      <c r="AJ144" s="6">
        <f>P144*'Front page'!$E$3</f>
        <v>24785.230099654724</v>
      </c>
      <c r="AK144" s="6">
        <f>Q144*'Front page'!$E$3</f>
        <v>67364.984373420535</v>
      </c>
      <c r="AL144" s="6">
        <f>S144*'Front page'!$E$3</f>
        <v>0</v>
      </c>
      <c r="AM144" s="5">
        <f>Z144*'Front page'!$E$3</f>
        <v>0</v>
      </c>
      <c r="AN144" s="6">
        <f>T144*'Front page'!$E$3</f>
        <v>4274.9225932566869</v>
      </c>
      <c r="AO144" s="6">
        <f>U144*'Front page'!$E$3</f>
        <v>0</v>
      </c>
      <c r="AP144" s="6">
        <f>W144*'Front page'!$E$3</f>
        <v>483788.62598364503</v>
      </c>
      <c r="AQ144" s="6">
        <f>V144*'Front page'!$E$3</f>
        <v>0</v>
      </c>
      <c r="AR144" s="6">
        <f>X144*'Front page'!$E$3</f>
        <v>0</v>
      </c>
      <c r="AS144" s="6">
        <f t="shared" si="25"/>
        <v>2816180.461356435</v>
      </c>
      <c r="AT144" s="7">
        <f>IF(AS144&gt;'Funding Comparison'!D144*(1+'Front page'!$H$10),'Funding Comparison'!D144*(1+'Front page'!$H$10),AS144)</f>
        <v>2776114.69025</v>
      </c>
    </row>
    <row r="145" spans="1:46" s="30" customFormat="1">
      <c r="A145" s="30" t="str">
        <f t="shared" si="18"/>
        <v>481</v>
      </c>
      <c r="B145" s="30">
        <f t="shared" si="20"/>
        <v>481</v>
      </c>
      <c r="C145" s="16" t="s">
        <v>154</v>
      </c>
      <c r="D145">
        <f>IF(settings!$G$4=0,'Student Enrollment Data'!AX146,'Student Enrollment Data'!CK146)</f>
        <v>463</v>
      </c>
      <c r="E145">
        <f>IF(settings!$G$4=0,'Student Enrollment Data'!AY146,'Student Enrollment Data'!CL146)</f>
        <v>207</v>
      </c>
      <c r="F145">
        <f>IF(settings!$G$4=0,'Student Enrollment Data'!AZ146,'Student Enrollment Data'!CM146)</f>
        <v>0</v>
      </c>
      <c r="G145" s="31">
        <f>'Student Enrollment Data'!BK146</f>
        <v>51</v>
      </c>
      <c r="H145" s="30">
        <f>'Student Enrollment Data'!BF146</f>
        <v>317</v>
      </c>
      <c r="I145">
        <f>SUM('Student Enrollment Data'!R146:X146,'Student Enrollment Data'!AQ146:AW146)</f>
        <v>0</v>
      </c>
      <c r="J145" s="30">
        <f>'Student Enrollment Data'!BS146</f>
        <v>136</v>
      </c>
      <c r="K145">
        <f t="shared" si="21"/>
        <v>46.300000000000004</v>
      </c>
      <c r="L145" s="28"/>
      <c r="M145" s="30">
        <f t="shared" si="19"/>
        <v>463</v>
      </c>
      <c r="N145" s="30">
        <f>E145*'Front page'!$B$20</f>
        <v>20.700000000000003</v>
      </c>
      <c r="O145" s="30">
        <f>F145*'Front page'!$B$21</f>
        <v>0</v>
      </c>
      <c r="P145">
        <f>G145*'Front page'!$B$18</f>
        <v>33.15</v>
      </c>
      <c r="Q145" s="30">
        <f>IF(settings!$B$4=0,Calculations!H145,Calculations!I145) *'Front page'!$B$11</f>
        <v>31.700000000000003</v>
      </c>
      <c r="R145" s="31">
        <f>ROUND(I145*'Front page'!$B$9,2)</f>
        <v>0</v>
      </c>
      <c r="S145" s="30">
        <f>J145*'Front page'!$B$14</f>
        <v>13.600000000000001</v>
      </c>
      <c r="T145" s="103">
        <f>'Front page'!$B$16*Calculations!K145</f>
        <v>0.92600000000000016</v>
      </c>
      <c r="U145" s="103">
        <f>IF(settings!$B$13=0,(Calculations!M145*'District Wealth Adjustment'!M144)-Calculations!M145,0)</f>
        <v>0</v>
      </c>
      <c r="V145" s="185">
        <f>VLOOKUP(B145,'Remote School Building Weight'!$M$2:$P$174,3,FALSE)</f>
        <v>0</v>
      </c>
      <c r="W145" s="25">
        <f>'Small Dist Weight'!V144-Calculations!D145</f>
        <v>80.55853448275866</v>
      </c>
      <c r="X145" s="25">
        <f>IF(settings!$P$9=0,'Large District Weight'!H144*'Large District Weight'!G144,0)</f>
        <v>0</v>
      </c>
      <c r="Y145" s="25">
        <f t="shared" si="22"/>
        <v>643.6345344827588</v>
      </c>
      <c r="Z145" s="25">
        <f>IF(settings!$F$13=0,'Teacher Exp'!L145,0)</f>
        <v>0</v>
      </c>
      <c r="AA145" s="25">
        <f t="shared" si="23"/>
        <v>643.6345344827588</v>
      </c>
      <c r="AB145" s="28"/>
      <c r="AC145" s="26">
        <f>'Student Enrollment Data'!BU146</f>
        <v>0</v>
      </c>
      <c r="AD145" s="26">
        <f t="shared" si="24"/>
        <v>46.300000000000004</v>
      </c>
      <c r="AE145" s="26">
        <f>AD145*'Front page'!$B$16</f>
        <v>0.92600000000000016</v>
      </c>
      <c r="AG145" s="6">
        <f>M145*'Front page'!$E$3</f>
        <v>1961634.4506222454</v>
      </c>
      <c r="AH145" s="6">
        <f>N145*'Front page'!$E$3</f>
        <v>87701.583429547492</v>
      </c>
      <c r="AI145" s="6">
        <f>O145*'Front page'!$E$3</f>
        <v>0</v>
      </c>
      <c r="AJ145" s="6">
        <f>P145*'Front page'!$E$3</f>
        <v>140449.63723137675</v>
      </c>
      <c r="AK145" s="6">
        <f>Q145*'Front page'!$E$3</f>
        <v>134306.28959983843</v>
      </c>
      <c r="AL145" s="6">
        <f>S145*'Front page'!$E$3</f>
        <v>57620.3639923597</v>
      </c>
      <c r="AM145" s="5">
        <f>Z145*'Front page'!$E$3</f>
        <v>0</v>
      </c>
      <c r="AN145" s="6">
        <f>T145*'Front page'!$E$3</f>
        <v>3923.2689012444916</v>
      </c>
      <c r="AO145" s="6">
        <f>U145*'Front page'!$E$3</f>
        <v>0</v>
      </c>
      <c r="AP145" s="6">
        <f>W145*'Front page'!$E$3</f>
        <v>341309.71173438337</v>
      </c>
      <c r="AQ145" s="6">
        <f>V145*'Front page'!$E$3</f>
        <v>0</v>
      </c>
      <c r="AR145" s="6">
        <f>X145*'Front page'!$E$3</f>
        <v>0</v>
      </c>
      <c r="AS145" s="6">
        <f t="shared" si="25"/>
        <v>2726945.3055109954</v>
      </c>
      <c r="AT145" s="7">
        <f>IF(AS145&gt;'Funding Comparison'!D145*(1+'Front page'!$H$10),'Funding Comparison'!D145*(1+'Front page'!$H$10),AS145)</f>
        <v>2726945.3055109954</v>
      </c>
    </row>
    <row r="146" spans="1:46" s="30" customFormat="1">
      <c r="A146" s="30" t="str">
        <f t="shared" si="18"/>
        <v>482</v>
      </c>
      <c r="B146" s="30">
        <f t="shared" si="20"/>
        <v>482</v>
      </c>
      <c r="C146" s="16" t="s">
        <v>155</v>
      </c>
      <c r="D146">
        <f>IF(settings!$G$4=0,'Student Enrollment Data'!AX147,'Student Enrollment Data'!CK147)</f>
        <v>339.5</v>
      </c>
      <c r="E146">
        <f>IF(settings!$G$4=0,'Student Enrollment Data'!AY147,'Student Enrollment Data'!CL147)</f>
        <v>143.5</v>
      </c>
      <c r="F146">
        <f>IF(settings!$G$4=0,'Student Enrollment Data'!AZ147,'Student Enrollment Data'!CM147)</f>
        <v>64</v>
      </c>
      <c r="G146" s="31">
        <f>'Student Enrollment Data'!BK147</f>
        <v>24</v>
      </c>
      <c r="H146" s="30">
        <f>'Student Enrollment Data'!BF147</f>
        <v>64</v>
      </c>
      <c r="I146">
        <f>SUM('Student Enrollment Data'!R147:X147,'Student Enrollment Data'!AQ147:AW147)</f>
        <v>0</v>
      </c>
      <c r="J146" s="30">
        <f>'Student Enrollment Data'!BS147</f>
        <v>0</v>
      </c>
      <c r="K146">
        <f t="shared" si="21"/>
        <v>33.950000000000003</v>
      </c>
      <c r="L146" s="28"/>
      <c r="M146" s="30">
        <f t="shared" si="19"/>
        <v>339.5</v>
      </c>
      <c r="N146" s="30">
        <f>E146*'Front page'!$B$20</f>
        <v>14.350000000000001</v>
      </c>
      <c r="O146" s="30">
        <f>F146*'Front page'!$B$21</f>
        <v>6.4</v>
      </c>
      <c r="P146">
        <f>G146*'Front page'!$B$18</f>
        <v>15.600000000000001</v>
      </c>
      <c r="Q146" s="30">
        <f>IF(settings!$B$4=0,Calculations!H146,Calculations!I146) *'Front page'!$B$11</f>
        <v>6.4</v>
      </c>
      <c r="R146" s="31">
        <f>ROUND(I146*'Front page'!$B$9,2)</f>
        <v>0</v>
      </c>
      <c r="S146" s="30">
        <f>J146*'Front page'!$B$14</f>
        <v>0</v>
      </c>
      <c r="T146" s="103">
        <f>'Front page'!$B$16*Calculations!K146</f>
        <v>0.67900000000000005</v>
      </c>
      <c r="U146" s="103">
        <f>IF(settings!$B$13=0,(Calculations!M146*'District Wealth Adjustment'!M145)-Calculations!M146,0)</f>
        <v>0</v>
      </c>
      <c r="V146" s="185">
        <f>VLOOKUP(B146,'Remote School Building Weight'!$M$2:$P$174,3,FALSE)</f>
        <v>0</v>
      </c>
      <c r="W146" s="25">
        <f>'Small Dist Weight'!V145-Calculations!D146</f>
        <v>133.6621336206897</v>
      </c>
      <c r="X146" s="25">
        <f>IF(settings!$P$9=0,'Large District Weight'!H145*'Large District Weight'!G145,0)</f>
        <v>0</v>
      </c>
      <c r="Y146" s="25">
        <f t="shared" si="22"/>
        <v>516.59113362068967</v>
      </c>
      <c r="Z146" s="25">
        <f>IF(settings!$F$13=0,'Teacher Exp'!L146,0)</f>
        <v>0</v>
      </c>
      <c r="AA146" s="25">
        <f t="shared" si="23"/>
        <v>516.59113362068967</v>
      </c>
      <c r="AB146" s="28"/>
      <c r="AC146" s="26">
        <f>'Student Enrollment Data'!BU147</f>
        <v>0</v>
      </c>
      <c r="AD146" s="26">
        <f t="shared" si="24"/>
        <v>33.950000000000003</v>
      </c>
      <c r="AE146" s="26">
        <f>AD146*'Front page'!$B$16</f>
        <v>0.67900000000000005</v>
      </c>
      <c r="AG146" s="6">
        <f>M146*'Front page'!$E$3</f>
        <v>1438390.7040739793</v>
      </c>
      <c r="AH146" s="6">
        <f>N146*'Front page'!$E$3</f>
        <v>60797.957594879539</v>
      </c>
      <c r="AI146" s="6">
        <f>O146*'Front page'!$E$3</f>
        <v>27115.465408169272</v>
      </c>
      <c r="AJ146" s="6">
        <f>P146*'Front page'!$E$3</f>
        <v>66093.946932412597</v>
      </c>
      <c r="AK146" s="6">
        <f>Q146*'Front page'!$E$3</f>
        <v>27115.465408169272</v>
      </c>
      <c r="AL146" s="6">
        <f>S146*'Front page'!$E$3</f>
        <v>0</v>
      </c>
      <c r="AM146" s="5">
        <f>Z146*'Front page'!$E$3</f>
        <v>0</v>
      </c>
      <c r="AN146" s="6">
        <f>T146*'Front page'!$E$3</f>
        <v>2876.7814081479587</v>
      </c>
      <c r="AO146" s="6">
        <f>U146*'Front page'!$E$3</f>
        <v>0</v>
      </c>
      <c r="AP146" s="6">
        <f>W146*'Front page'!$E$3</f>
        <v>566298.58758967347</v>
      </c>
      <c r="AQ146" s="6">
        <f>V146*'Front page'!$E$3</f>
        <v>0</v>
      </c>
      <c r="AR146" s="6">
        <f>X146*'Front page'!$E$3</f>
        <v>0</v>
      </c>
      <c r="AS146" s="6">
        <f t="shared" si="25"/>
        <v>2188688.9084154312</v>
      </c>
      <c r="AT146" s="7">
        <f>IF(AS146&gt;'Funding Comparison'!D146*(1+'Front page'!$H$10),'Funding Comparison'!D146*(1+'Front page'!$H$10),AS146)</f>
        <v>2048957.5249999999</v>
      </c>
    </row>
    <row r="147" spans="1:46" s="30" customFormat="1">
      <c r="A147" s="30" t="str">
        <f t="shared" si="18"/>
        <v>483</v>
      </c>
      <c r="B147" s="30">
        <f t="shared" si="20"/>
        <v>483</v>
      </c>
      <c r="C147" s="16" t="s">
        <v>156</v>
      </c>
      <c r="D147">
        <f>IF(settings!$G$4=0,'Student Enrollment Data'!AX148,'Student Enrollment Data'!CK148)</f>
        <v>77.5</v>
      </c>
      <c r="E147">
        <f>IF(settings!$G$4=0,'Student Enrollment Data'!AY148,'Student Enrollment Data'!CL148)</f>
        <v>48.5</v>
      </c>
      <c r="F147">
        <f>IF(settings!$G$4=0,'Student Enrollment Data'!AZ148,'Student Enrollment Data'!CM148)</f>
        <v>0</v>
      </c>
      <c r="G147" s="31">
        <f>'Student Enrollment Data'!BK148</f>
        <v>21</v>
      </c>
      <c r="H147" s="30">
        <f>'Student Enrollment Data'!BF148</f>
        <v>36.979999999999997</v>
      </c>
      <c r="I147">
        <f>SUM('Student Enrollment Data'!R148:X148,'Student Enrollment Data'!AQ148:AW148)</f>
        <v>0</v>
      </c>
      <c r="J147" s="30">
        <f>'Student Enrollment Data'!BS148</f>
        <v>0</v>
      </c>
      <c r="K147">
        <f t="shared" si="21"/>
        <v>7.75</v>
      </c>
      <c r="L147" s="28"/>
      <c r="M147" s="30">
        <f t="shared" si="19"/>
        <v>77.5</v>
      </c>
      <c r="N147" s="30">
        <f>E147*'Front page'!$B$20</f>
        <v>4.8500000000000005</v>
      </c>
      <c r="O147" s="30">
        <f>F147*'Front page'!$B$21</f>
        <v>0</v>
      </c>
      <c r="P147">
        <f>G147*'Front page'!$B$18</f>
        <v>13.65</v>
      </c>
      <c r="Q147" s="30">
        <f>IF(settings!$B$4=0,Calculations!H147,Calculations!I147) *'Front page'!$B$11</f>
        <v>3.698</v>
      </c>
      <c r="R147" s="31">
        <f>ROUND(I147*'Front page'!$B$9,2)</f>
        <v>0</v>
      </c>
      <c r="S147" s="30">
        <f>J147*'Front page'!$B$14</f>
        <v>0</v>
      </c>
      <c r="T147" s="103">
        <f>'Front page'!$B$16*Calculations!K147</f>
        <v>0.155</v>
      </c>
      <c r="U147" s="103">
        <f>IF(settings!$B$13=0,(Calculations!M147*'District Wealth Adjustment'!M146)-Calculations!M147,0)</f>
        <v>0</v>
      </c>
      <c r="V147" s="185">
        <f>VLOOKUP(B147,'Remote School Building Weight'!$M$2:$P$174,3,FALSE)</f>
        <v>0</v>
      </c>
      <c r="W147" s="25">
        <f>'Small Dist Weight'!V146-Calculations!D147</f>
        <v>54.88517045454546</v>
      </c>
      <c r="X147" s="25">
        <f>IF(settings!$P$9=0,'Large District Weight'!H146*'Large District Weight'!G146,0)</f>
        <v>0</v>
      </c>
      <c r="Y147" s="25">
        <f t="shared" si="22"/>
        <v>154.73817045454547</v>
      </c>
      <c r="Z147" s="25">
        <f>IF(settings!$F$13=0,'Teacher Exp'!L147,0)</f>
        <v>0</v>
      </c>
      <c r="AA147" s="25">
        <f t="shared" si="23"/>
        <v>154.73817045454547</v>
      </c>
      <c r="AB147" s="28"/>
      <c r="AC147" s="26">
        <f>'Student Enrollment Data'!BU148</f>
        <v>0</v>
      </c>
      <c r="AD147" s="26">
        <f t="shared" si="24"/>
        <v>7.75</v>
      </c>
      <c r="AE147" s="26">
        <f>AD147*'Front page'!$B$16</f>
        <v>0.155</v>
      </c>
      <c r="AG147" s="6">
        <f>M147*'Front page'!$E$3</f>
        <v>328351.33892704971</v>
      </c>
      <c r="AH147" s="6">
        <f>N147*'Front page'!$E$3</f>
        <v>20548.438629628276</v>
      </c>
      <c r="AI147" s="6">
        <f>O147*'Front page'!$E$3</f>
        <v>0</v>
      </c>
      <c r="AJ147" s="6">
        <f>P147*'Front page'!$E$3</f>
        <v>57832.203565861018</v>
      </c>
      <c r="AK147" s="6">
        <f>Q147*'Front page'!$E$3</f>
        <v>15667.654856157806</v>
      </c>
      <c r="AL147" s="6">
        <f>S147*'Front page'!$E$3</f>
        <v>0</v>
      </c>
      <c r="AM147" s="5">
        <f>Z147*'Front page'!$E$3</f>
        <v>0</v>
      </c>
      <c r="AN147" s="6">
        <f>T147*'Front page'!$E$3</f>
        <v>656.70267785409942</v>
      </c>
      <c r="AO147" s="6">
        <f>U147*'Front page'!$E$3</f>
        <v>0</v>
      </c>
      <c r="AP147" s="6">
        <f>W147*'Front page'!$E$3</f>
        <v>232537.02201276584</v>
      </c>
      <c r="AQ147" s="6">
        <f>V147*'Front page'!$E$3</f>
        <v>0</v>
      </c>
      <c r="AR147" s="6">
        <f>X147*'Front page'!$E$3</f>
        <v>0</v>
      </c>
      <c r="AS147" s="6">
        <f t="shared" si="25"/>
        <v>655593.36066931672</v>
      </c>
      <c r="AT147" s="7">
        <f>IF(AS147&gt;'Funding Comparison'!D147*(1+'Front page'!$H$10),'Funding Comparison'!D147*(1+'Front page'!$H$10),AS147)</f>
        <v>598945.21550000005</v>
      </c>
    </row>
    <row r="148" spans="1:46" s="30" customFormat="1">
      <c r="A148" s="30" t="str">
        <f t="shared" si="18"/>
        <v>485</v>
      </c>
      <c r="B148" s="30">
        <f t="shared" si="20"/>
        <v>485</v>
      </c>
      <c r="C148" s="16" t="s">
        <v>157</v>
      </c>
      <c r="D148">
        <f>IF(settings!$G$4=0,'Student Enrollment Data'!AX149,'Student Enrollment Data'!CK149)</f>
        <v>118</v>
      </c>
      <c r="E148">
        <f>IF(settings!$G$4=0,'Student Enrollment Data'!AY149,'Student Enrollment Data'!CL149)</f>
        <v>0</v>
      </c>
      <c r="F148">
        <f>IF(settings!$G$4=0,'Student Enrollment Data'!AZ149,'Student Enrollment Data'!CM149)</f>
        <v>118</v>
      </c>
      <c r="G148" s="31">
        <f>'Student Enrollment Data'!BK149</f>
        <v>6</v>
      </c>
      <c r="H148" s="30">
        <f>'Student Enrollment Data'!BF149</f>
        <v>57</v>
      </c>
      <c r="I148">
        <f>SUM('Student Enrollment Data'!R149:X149,'Student Enrollment Data'!AQ149:AW149)</f>
        <v>0</v>
      </c>
      <c r="J148" s="30">
        <f>'Student Enrollment Data'!BS149</f>
        <v>0</v>
      </c>
      <c r="K148">
        <f t="shared" si="21"/>
        <v>11.8</v>
      </c>
      <c r="L148" s="28"/>
      <c r="M148" s="30">
        <f t="shared" si="19"/>
        <v>118</v>
      </c>
      <c r="N148" s="30">
        <f>E148*'Front page'!$B$20</f>
        <v>0</v>
      </c>
      <c r="O148" s="30">
        <f>F148*'Front page'!$B$21</f>
        <v>11.8</v>
      </c>
      <c r="P148">
        <f>G148*'Front page'!$B$18</f>
        <v>3.9000000000000004</v>
      </c>
      <c r="Q148" s="30">
        <f>IF(settings!$B$4=0,Calculations!H148,Calculations!I148) *'Front page'!$B$11</f>
        <v>5.7</v>
      </c>
      <c r="R148" s="31">
        <f>ROUND(I148*'Front page'!$B$9,2)</f>
        <v>0</v>
      </c>
      <c r="S148" s="30">
        <f>J148*'Front page'!$B$14</f>
        <v>0</v>
      </c>
      <c r="T148" s="103">
        <f>'Front page'!$B$16*Calculations!K148</f>
        <v>0.23600000000000002</v>
      </c>
      <c r="U148" s="103">
        <f>IF(settings!$B$13=0,(Calculations!M148*'District Wealth Adjustment'!M147)-Calculations!M148,0)</f>
        <v>0</v>
      </c>
      <c r="V148" s="185">
        <f>VLOOKUP(B148,'Remote School Building Weight'!$M$2:$P$174,3,FALSE)</f>
        <v>0</v>
      </c>
      <c r="W148" s="25">
        <f>'Small Dist Weight'!V147-Calculations!D148</f>
        <v>98.692758620689659</v>
      </c>
      <c r="X148" s="25">
        <f>IF(settings!$P$9=0,'Large District Weight'!H147*'Large District Weight'!G147,0)</f>
        <v>0</v>
      </c>
      <c r="Y148" s="25">
        <f t="shared" si="22"/>
        <v>238.32875862068965</v>
      </c>
      <c r="Z148" s="25">
        <f>IF(settings!$F$13=0,'Teacher Exp'!L148,0)</f>
        <v>0</v>
      </c>
      <c r="AA148" s="25">
        <f t="shared" si="23"/>
        <v>238.32875862068965</v>
      </c>
      <c r="AB148" s="28"/>
      <c r="AC148" s="26">
        <f>'Student Enrollment Data'!BU149</f>
        <v>0</v>
      </c>
      <c r="AD148" s="26">
        <f t="shared" si="24"/>
        <v>11.8</v>
      </c>
      <c r="AE148" s="26">
        <f>AD148*'Front page'!$B$16</f>
        <v>0.23600000000000002</v>
      </c>
      <c r="AG148" s="6">
        <f>M148*'Front page'!$E$3</f>
        <v>499941.39346312091</v>
      </c>
      <c r="AH148" s="6">
        <f>N148*'Front page'!$E$3</f>
        <v>0</v>
      </c>
      <c r="AI148" s="6">
        <f>O148*'Front page'!$E$3</f>
        <v>49994.139346312091</v>
      </c>
      <c r="AJ148" s="6">
        <f>P148*'Front page'!$E$3</f>
        <v>16523.486733103149</v>
      </c>
      <c r="AK148" s="6">
        <f>Q148*'Front page'!$E$3</f>
        <v>24149.711379150755</v>
      </c>
      <c r="AL148" s="6">
        <f>S148*'Front page'!$E$3</f>
        <v>0</v>
      </c>
      <c r="AM148" s="5">
        <f>Z148*'Front page'!$E$3</f>
        <v>0</v>
      </c>
      <c r="AN148" s="6">
        <f>T148*'Front page'!$E$3</f>
        <v>999.88278692624181</v>
      </c>
      <c r="AO148" s="6">
        <f>U148*'Front page'!$E$3</f>
        <v>0</v>
      </c>
      <c r="AP148" s="6">
        <f>W148*'Front page'!$E$3</f>
        <v>418140.63787751715</v>
      </c>
      <c r="AQ148" s="6">
        <f>V148*'Front page'!$E$3</f>
        <v>0</v>
      </c>
      <c r="AR148" s="6">
        <f>X148*'Front page'!$E$3</f>
        <v>0</v>
      </c>
      <c r="AS148" s="6">
        <f t="shared" si="25"/>
        <v>1009749.2515861304</v>
      </c>
      <c r="AT148" s="7">
        <f>IF(AS148&gt;'Funding Comparison'!D148*(1+'Front page'!$H$10),'Funding Comparison'!D148*(1+'Front page'!$H$10),AS148)</f>
        <v>949040.16450000007</v>
      </c>
    </row>
    <row r="149" spans="1:46" s="30" customFormat="1">
      <c r="A149" s="30" t="str">
        <f t="shared" si="18"/>
        <v>486</v>
      </c>
      <c r="B149" s="30">
        <f t="shared" si="20"/>
        <v>486</v>
      </c>
      <c r="C149" s="16" t="s">
        <v>158</v>
      </c>
      <c r="D149">
        <f>IF(settings!$G$4=0,'Student Enrollment Data'!AX150,'Student Enrollment Data'!CK150)</f>
        <v>94.5</v>
      </c>
      <c r="E149">
        <f>IF(settings!$G$4=0,'Student Enrollment Data'!AY150,'Student Enrollment Data'!CL150)</f>
        <v>43.5</v>
      </c>
      <c r="F149">
        <f>IF(settings!$G$4=0,'Student Enrollment Data'!AZ150,'Student Enrollment Data'!CM150)</f>
        <v>0</v>
      </c>
      <c r="G149" s="31">
        <f>'Student Enrollment Data'!BK150</f>
        <v>12.637640103687664</v>
      </c>
      <c r="H149" s="30">
        <f>'Student Enrollment Data'!BF150</f>
        <v>43.43</v>
      </c>
      <c r="I149">
        <f>SUM('Student Enrollment Data'!R150:X150,'Student Enrollment Data'!AQ150:AW150)</f>
        <v>0</v>
      </c>
      <c r="J149" s="30">
        <f>'Student Enrollment Data'!BS150</f>
        <v>0</v>
      </c>
      <c r="K149">
        <f t="shared" si="21"/>
        <v>9.4500000000000011</v>
      </c>
      <c r="L149" s="28"/>
      <c r="M149" s="30">
        <f t="shared" si="19"/>
        <v>94.5</v>
      </c>
      <c r="N149" s="30">
        <f>E149*'Front page'!$B$20</f>
        <v>4.3500000000000005</v>
      </c>
      <c r="O149" s="30">
        <f>F149*'Front page'!$B$21</f>
        <v>0</v>
      </c>
      <c r="P149">
        <f>G149*'Front page'!$B$18</f>
        <v>8.214466067396982</v>
      </c>
      <c r="Q149" s="30">
        <f>IF(settings!$B$4=0,Calculations!H149,Calculations!I149) *'Front page'!$B$11</f>
        <v>4.343</v>
      </c>
      <c r="R149" s="31">
        <f>ROUND(I149*'Front page'!$B$9,2)</f>
        <v>0</v>
      </c>
      <c r="S149" s="30">
        <f>J149*'Front page'!$B$14</f>
        <v>0</v>
      </c>
      <c r="T149" s="103">
        <f>'Front page'!$B$16*Calculations!K149</f>
        <v>0.18900000000000003</v>
      </c>
      <c r="U149" s="103">
        <f>IF(settings!$B$13=0,(Calculations!M149*'District Wealth Adjustment'!M148)-Calculations!M149,0)</f>
        <v>0</v>
      </c>
      <c r="V149" s="185">
        <f>VLOOKUP(B149,'Remote School Building Weight'!$M$2:$P$174,3,FALSE)</f>
        <v>0</v>
      </c>
      <c r="W149" s="25">
        <f>'Small Dist Weight'!V148-Calculations!D149</f>
        <v>71.293806818181821</v>
      </c>
      <c r="X149" s="25">
        <f>IF(settings!$P$9=0,'Large District Weight'!H148*'Large District Weight'!G148,0)</f>
        <v>0</v>
      </c>
      <c r="Y149" s="25">
        <f t="shared" si="22"/>
        <v>182.89027288557878</v>
      </c>
      <c r="Z149" s="25">
        <f>IF(settings!$F$13=0,'Teacher Exp'!L149,0)</f>
        <v>4.9326347712311236</v>
      </c>
      <c r="AA149" s="25">
        <f t="shared" si="23"/>
        <v>187.82290765680992</v>
      </c>
      <c r="AB149" s="28"/>
      <c r="AC149" s="26">
        <f>'Student Enrollment Data'!BU150</f>
        <v>0</v>
      </c>
      <c r="AD149" s="26">
        <f t="shared" si="24"/>
        <v>9.4500000000000011</v>
      </c>
      <c r="AE149" s="26">
        <f>AD149*'Front page'!$B$16</f>
        <v>0.18900000000000003</v>
      </c>
      <c r="AG149" s="6">
        <f>M149*'Front page'!$E$3</f>
        <v>400376.79391749937</v>
      </c>
      <c r="AH149" s="6">
        <f>N149*'Front page'!$E$3</f>
        <v>18430.042894615053</v>
      </c>
      <c r="AI149" s="6">
        <f>O149*'Front page'!$E$3</f>
        <v>0</v>
      </c>
      <c r="AJ149" s="6">
        <f>P149*'Front page'!$E$3</f>
        <v>34802.979765169235</v>
      </c>
      <c r="AK149" s="6">
        <f>Q149*'Front page'!$E$3</f>
        <v>18400.385354324866</v>
      </c>
      <c r="AL149" s="6">
        <f>S149*'Front page'!$E$3</f>
        <v>0</v>
      </c>
      <c r="AM149" s="5">
        <f>Z149*'Front page'!$E$3</f>
        <v>20898.544923507885</v>
      </c>
      <c r="AN149" s="6">
        <f>T149*'Front page'!$E$3</f>
        <v>800.75358783499883</v>
      </c>
      <c r="AO149" s="6">
        <f>U149*'Front page'!$E$3</f>
        <v>0</v>
      </c>
      <c r="AP149" s="6">
        <f>W149*'Front page'!$E$3</f>
        <v>302056.99259298615</v>
      </c>
      <c r="AQ149" s="6">
        <f>V149*'Front page'!$E$3</f>
        <v>0</v>
      </c>
      <c r="AR149" s="6">
        <f>X149*'Front page'!$E$3</f>
        <v>0</v>
      </c>
      <c r="AS149" s="6">
        <f t="shared" si="25"/>
        <v>795766.49303593766</v>
      </c>
      <c r="AT149" s="7">
        <f>IF(AS149&gt;'Funding Comparison'!D149*(1+'Front page'!$H$10),'Funding Comparison'!D149*(1+'Front page'!$H$10),AS149)</f>
        <v>795766.49303593766</v>
      </c>
    </row>
    <row r="150" spans="1:46" s="30" customFormat="1">
      <c r="A150" s="30" t="str">
        <f t="shared" si="18"/>
        <v>487</v>
      </c>
      <c r="B150" s="30">
        <f t="shared" si="20"/>
        <v>487</v>
      </c>
      <c r="C150" s="16" t="s">
        <v>159</v>
      </c>
      <c r="D150">
        <f>IF(settings!$G$4=0,'Student Enrollment Data'!AX151,'Student Enrollment Data'!CK151)</f>
        <v>318</v>
      </c>
      <c r="E150">
        <f>IF(settings!$G$4=0,'Student Enrollment Data'!AY151,'Student Enrollment Data'!CL151)</f>
        <v>0</v>
      </c>
      <c r="F150">
        <f>IF(settings!$G$4=0,'Student Enrollment Data'!AZ151,'Student Enrollment Data'!CM151)</f>
        <v>181</v>
      </c>
      <c r="G150" s="31">
        <f>'Student Enrollment Data'!BK151</f>
        <v>40</v>
      </c>
      <c r="H150" s="30">
        <f>'Student Enrollment Data'!BF151</f>
        <v>113</v>
      </c>
      <c r="I150">
        <f>SUM('Student Enrollment Data'!R151:X151,'Student Enrollment Data'!AQ151:AW151)</f>
        <v>0</v>
      </c>
      <c r="J150" s="30">
        <f>'Student Enrollment Data'!BS151</f>
        <v>0</v>
      </c>
      <c r="K150">
        <f t="shared" si="21"/>
        <v>31.8</v>
      </c>
      <c r="L150" s="28"/>
      <c r="M150" s="30">
        <f t="shared" si="19"/>
        <v>318</v>
      </c>
      <c r="N150" s="30">
        <f>E150*'Front page'!$B$20</f>
        <v>0</v>
      </c>
      <c r="O150" s="30">
        <f>F150*'Front page'!$B$21</f>
        <v>18.100000000000001</v>
      </c>
      <c r="P150">
        <f>G150*'Front page'!$B$18</f>
        <v>26</v>
      </c>
      <c r="Q150" s="30">
        <f>IF(settings!$B$4=0,Calculations!H150,Calculations!I150) *'Front page'!$B$11</f>
        <v>11.3</v>
      </c>
      <c r="R150" s="31">
        <f>ROUND(I150*'Front page'!$B$9,2)</f>
        <v>0</v>
      </c>
      <c r="S150" s="30">
        <f>J150*'Front page'!$B$14</f>
        <v>0</v>
      </c>
      <c r="T150" s="103">
        <f>'Front page'!$B$16*Calculations!K150</f>
        <v>0.63600000000000001</v>
      </c>
      <c r="U150" s="103">
        <f>IF(settings!$B$13=0,(Calculations!M150*'District Wealth Adjustment'!M149)-Calculations!M150,0)</f>
        <v>0</v>
      </c>
      <c r="V150" s="185">
        <f>VLOOKUP(B150,'Remote School Building Weight'!$M$2:$P$174,3,FALSE)</f>
        <v>0</v>
      </c>
      <c r="W150" s="25">
        <f>'Small Dist Weight'!V149-Calculations!D150</f>
        <v>184.41949843260187</v>
      </c>
      <c r="X150" s="25">
        <f>IF(settings!$P$9=0,'Large District Weight'!H149*'Large District Weight'!G149,0)</f>
        <v>0</v>
      </c>
      <c r="Y150" s="25">
        <f t="shared" si="22"/>
        <v>558.45549843260187</v>
      </c>
      <c r="Z150" s="25">
        <f>IF(settings!$F$13=0,'Teacher Exp'!L150,0)</f>
        <v>0</v>
      </c>
      <c r="AA150" s="25">
        <f t="shared" si="23"/>
        <v>558.45549843260187</v>
      </c>
      <c r="AB150" s="28"/>
      <c r="AC150" s="26">
        <f>'Student Enrollment Data'!BU151</f>
        <v>39</v>
      </c>
      <c r="AD150" s="26">
        <f t="shared" si="24"/>
        <v>31.8</v>
      </c>
      <c r="AE150" s="26">
        <f>AD150*'Front page'!$B$16</f>
        <v>0.63600000000000001</v>
      </c>
      <c r="AG150" s="6">
        <f>M150*'Front page'!$E$3</f>
        <v>1347299.6874684105</v>
      </c>
      <c r="AH150" s="6">
        <f>N150*'Front page'!$E$3</f>
        <v>0</v>
      </c>
      <c r="AI150" s="6">
        <f>O150*'Front page'!$E$3</f>
        <v>76685.925607478712</v>
      </c>
      <c r="AJ150" s="6">
        <f>P150*'Front page'!$E$3</f>
        <v>110156.57822068766</v>
      </c>
      <c r="AK150" s="6">
        <f>Q150*'Front page'!$E$3</f>
        <v>47875.743611298865</v>
      </c>
      <c r="AL150" s="6">
        <f>S150*'Front page'!$E$3</f>
        <v>0</v>
      </c>
      <c r="AM150" s="5">
        <f>Z150*'Front page'!$E$3</f>
        <v>0</v>
      </c>
      <c r="AN150" s="6">
        <f>T150*'Front page'!$E$3</f>
        <v>2694.5993749368213</v>
      </c>
      <c r="AO150" s="6">
        <f>U150*'Front page'!$E$3</f>
        <v>0</v>
      </c>
      <c r="AP150" s="6">
        <f>W150*'Front page'!$E$3</f>
        <v>781346.9578658035</v>
      </c>
      <c r="AQ150" s="6">
        <f>V150*'Front page'!$E$3</f>
        <v>0</v>
      </c>
      <c r="AR150" s="6">
        <f>X150*'Front page'!$E$3</f>
        <v>0</v>
      </c>
      <c r="AS150" s="6">
        <f t="shared" si="25"/>
        <v>2366059.4921486164</v>
      </c>
      <c r="AT150" s="7">
        <f>IF(AS150&gt;'Funding Comparison'!D150*(1+'Front page'!$H$10),'Funding Comparison'!D150*(1+'Front page'!$H$10),AS150)</f>
        <v>2366059.4921486164</v>
      </c>
    </row>
    <row r="151" spans="1:46" s="30" customFormat="1">
      <c r="A151" s="30" t="str">
        <f t="shared" si="18"/>
        <v>488</v>
      </c>
      <c r="B151" s="30">
        <f t="shared" si="20"/>
        <v>488</v>
      </c>
      <c r="C151" s="16" t="s">
        <v>160</v>
      </c>
      <c r="D151">
        <f>IF(settings!$G$4=0,'Student Enrollment Data'!AX152,'Student Enrollment Data'!CK152)</f>
        <v>103.5</v>
      </c>
      <c r="E151">
        <f>IF(settings!$G$4=0,'Student Enrollment Data'!AY152,'Student Enrollment Data'!CL152)</f>
        <v>47.5</v>
      </c>
      <c r="F151">
        <f>IF(settings!$G$4=0,'Student Enrollment Data'!AZ152,'Student Enrollment Data'!CM152)</f>
        <v>0</v>
      </c>
      <c r="G151" s="31">
        <f>'Student Enrollment Data'!BK152</f>
        <v>11</v>
      </c>
      <c r="H151" s="30">
        <f>'Student Enrollment Data'!BF152</f>
        <v>57</v>
      </c>
      <c r="I151">
        <f>SUM('Student Enrollment Data'!R152:X152,'Student Enrollment Data'!AQ152:AW152)</f>
        <v>0</v>
      </c>
      <c r="J151" s="30">
        <f>'Student Enrollment Data'!BS152</f>
        <v>10.105932616873245</v>
      </c>
      <c r="K151">
        <f t="shared" si="21"/>
        <v>10.350000000000001</v>
      </c>
      <c r="L151" s="28"/>
      <c r="M151" s="30">
        <f t="shared" si="19"/>
        <v>103.5</v>
      </c>
      <c r="N151" s="30">
        <f>E151*'Front page'!$B$20</f>
        <v>4.75</v>
      </c>
      <c r="O151" s="30">
        <f>F151*'Front page'!$B$21</f>
        <v>0</v>
      </c>
      <c r="P151">
        <f>G151*'Front page'!$B$18</f>
        <v>7.15</v>
      </c>
      <c r="Q151" s="30">
        <f>IF(settings!$B$4=0,Calculations!H151,Calculations!I151) *'Front page'!$B$11</f>
        <v>5.7</v>
      </c>
      <c r="R151" s="31">
        <f>ROUND(I151*'Front page'!$B$9,2)</f>
        <v>0</v>
      </c>
      <c r="S151" s="30">
        <f>J151*'Front page'!$B$14</f>
        <v>1.0105932616873246</v>
      </c>
      <c r="T151" s="103">
        <f>'Front page'!$B$16*Calculations!K151</f>
        <v>0.20700000000000005</v>
      </c>
      <c r="U151" s="103">
        <f>IF(settings!$B$13=0,(Calculations!M151*'District Wealth Adjustment'!M150)-Calculations!M151,0)</f>
        <v>0</v>
      </c>
      <c r="V151" s="185">
        <f>VLOOKUP(B151,'Remote School Building Weight'!$M$2:$P$174,3,FALSE)</f>
        <v>0</v>
      </c>
      <c r="W151" s="25">
        <f>'Small Dist Weight'!V150-Calculations!D151</f>
        <v>64.23017045454543</v>
      </c>
      <c r="X151" s="25">
        <f>IF(settings!$P$9=0,'Large District Weight'!H150*'Large District Weight'!G150,0)</f>
        <v>0</v>
      </c>
      <c r="Y151" s="25">
        <f t="shared" si="22"/>
        <v>186.54776371623274</v>
      </c>
      <c r="Z151" s="25">
        <f>IF(settings!$F$13=0,'Teacher Exp'!L151,0)</f>
        <v>0</v>
      </c>
      <c r="AA151" s="25">
        <f t="shared" si="23"/>
        <v>186.54776371623274</v>
      </c>
      <c r="AB151" s="28"/>
      <c r="AC151" s="26">
        <f>'Student Enrollment Data'!BU152</f>
        <v>0</v>
      </c>
      <c r="AD151" s="26">
        <f t="shared" si="24"/>
        <v>10.350000000000001</v>
      </c>
      <c r="AE151" s="26">
        <f>AD151*'Front page'!$B$16</f>
        <v>0.20700000000000005</v>
      </c>
      <c r="AG151" s="6">
        <f>M151*'Front page'!$E$3</f>
        <v>438507.9171477374</v>
      </c>
      <c r="AH151" s="6">
        <f>N151*'Front page'!$E$3</f>
        <v>20124.759482625628</v>
      </c>
      <c r="AI151" s="6">
        <f>O151*'Front page'!$E$3</f>
        <v>0</v>
      </c>
      <c r="AJ151" s="6">
        <f>P151*'Front page'!$E$3</f>
        <v>30293.059010689107</v>
      </c>
      <c r="AK151" s="6">
        <f>Q151*'Front page'!$E$3</f>
        <v>24149.711379150755</v>
      </c>
      <c r="AL151" s="6">
        <f>S151*'Front page'!$E$3</f>
        <v>4281.6729107830624</v>
      </c>
      <c r="AM151" s="5">
        <f>Z151*'Front page'!$E$3</f>
        <v>0</v>
      </c>
      <c r="AN151" s="6">
        <f>T151*'Front page'!$E$3</f>
        <v>877.01583429547497</v>
      </c>
      <c r="AO151" s="6">
        <f>U151*'Front page'!$E$3</f>
        <v>0</v>
      </c>
      <c r="AP151" s="6">
        <f>W151*'Front page'!$E$3</f>
        <v>272129.83830016287</v>
      </c>
      <c r="AQ151" s="6">
        <f>V151*'Front page'!$E$3</f>
        <v>0</v>
      </c>
      <c r="AR151" s="6">
        <f>X151*'Front page'!$E$3</f>
        <v>0</v>
      </c>
      <c r="AS151" s="6">
        <f t="shared" si="25"/>
        <v>790363.97406544432</v>
      </c>
      <c r="AT151" s="7">
        <f>IF(AS151&gt;'Funding Comparison'!D151*(1+'Front page'!$H$10),'Funding Comparison'!D151*(1+'Front page'!$H$10),AS151)</f>
        <v>790363.97406544432</v>
      </c>
    </row>
    <row r="152" spans="1:46" s="30" customFormat="1">
      <c r="A152" s="30" t="str">
        <f t="shared" si="18"/>
        <v>489</v>
      </c>
      <c r="B152" s="30">
        <f t="shared" si="20"/>
        <v>489</v>
      </c>
      <c r="C152" s="16" t="s">
        <v>161</v>
      </c>
      <c r="D152">
        <f>IF(settings!$G$4=0,'Student Enrollment Data'!AX153,'Student Enrollment Data'!CK153)</f>
        <v>136</v>
      </c>
      <c r="E152">
        <f>IF(settings!$G$4=0,'Student Enrollment Data'!AY153,'Student Enrollment Data'!CL153)</f>
        <v>0</v>
      </c>
      <c r="F152">
        <f>IF(settings!$G$4=0,'Student Enrollment Data'!AZ153,'Student Enrollment Data'!CM153)</f>
        <v>136</v>
      </c>
      <c r="G152" s="31">
        <f>'Student Enrollment Data'!BK153</f>
        <v>8</v>
      </c>
      <c r="H152" s="30">
        <f>'Student Enrollment Data'!BF153</f>
        <v>64</v>
      </c>
      <c r="I152">
        <f>SUM('Student Enrollment Data'!R153:X153,'Student Enrollment Data'!AQ153:AW153)</f>
        <v>0</v>
      </c>
      <c r="J152" s="30">
        <f>'Student Enrollment Data'!BS153</f>
        <v>0</v>
      </c>
      <c r="K152">
        <f t="shared" si="21"/>
        <v>13.600000000000001</v>
      </c>
      <c r="L152" s="28"/>
      <c r="M152" s="30">
        <f t="shared" si="19"/>
        <v>136</v>
      </c>
      <c r="N152" s="30">
        <f>E152*'Front page'!$B$20</f>
        <v>0</v>
      </c>
      <c r="O152" s="30">
        <f>F152*'Front page'!$B$21</f>
        <v>13.600000000000001</v>
      </c>
      <c r="P152">
        <f>G152*'Front page'!$B$18</f>
        <v>5.2</v>
      </c>
      <c r="Q152" s="30">
        <f>IF(settings!$B$4=0,Calculations!H152,Calculations!I152) *'Front page'!$B$11</f>
        <v>6.4</v>
      </c>
      <c r="R152" s="31">
        <f>ROUND(I152*'Front page'!$B$9,2)</f>
        <v>0</v>
      </c>
      <c r="S152" s="30">
        <f>J152*'Front page'!$B$14</f>
        <v>0</v>
      </c>
      <c r="T152" s="103">
        <f>'Front page'!$B$16*Calculations!K152</f>
        <v>0.27200000000000002</v>
      </c>
      <c r="U152" s="103">
        <f>IF(settings!$B$13=0,(Calculations!M152*'District Wealth Adjustment'!M151)-Calculations!M152,0)</f>
        <v>0</v>
      </c>
      <c r="V152" s="185">
        <f>VLOOKUP(B152,'Remote School Building Weight'!$M$2:$P$174,3,FALSE)</f>
        <v>0</v>
      </c>
      <c r="W152" s="25">
        <f>'Small Dist Weight'!V151-Calculations!D152</f>
        <v>109.31586206896552</v>
      </c>
      <c r="X152" s="25">
        <f>IF(settings!$P$9=0,'Large District Weight'!H151*'Large District Weight'!G151,0)</f>
        <v>0</v>
      </c>
      <c r="Y152" s="25">
        <f t="shared" si="22"/>
        <v>270.78786206896552</v>
      </c>
      <c r="Z152" s="25">
        <f>IF(settings!$F$13=0,'Teacher Exp'!L152,0)</f>
        <v>0</v>
      </c>
      <c r="AA152" s="25">
        <f t="shared" si="23"/>
        <v>270.78786206896552</v>
      </c>
      <c r="AB152" s="28"/>
      <c r="AC152" s="26">
        <f>'Student Enrollment Data'!BU153</f>
        <v>0</v>
      </c>
      <c r="AD152" s="26">
        <f t="shared" si="24"/>
        <v>13.600000000000001</v>
      </c>
      <c r="AE152" s="26">
        <f>AD152*'Front page'!$B$16</f>
        <v>0.27200000000000002</v>
      </c>
      <c r="AG152" s="6">
        <f>M152*'Front page'!$E$3</f>
        <v>576203.63992359699</v>
      </c>
      <c r="AH152" s="6">
        <f>N152*'Front page'!$E$3</f>
        <v>0</v>
      </c>
      <c r="AI152" s="6">
        <f>O152*'Front page'!$E$3</f>
        <v>57620.3639923597</v>
      </c>
      <c r="AJ152" s="6">
        <f>P152*'Front page'!$E$3</f>
        <v>22031.315644137532</v>
      </c>
      <c r="AK152" s="6">
        <f>Q152*'Front page'!$E$3</f>
        <v>27115.465408169272</v>
      </c>
      <c r="AL152" s="6">
        <f>S152*'Front page'!$E$3</f>
        <v>0</v>
      </c>
      <c r="AM152" s="5">
        <f>Z152*'Front page'!$E$3</f>
        <v>0</v>
      </c>
      <c r="AN152" s="6">
        <f>T152*'Front page'!$E$3</f>
        <v>1152.4072798471941</v>
      </c>
      <c r="AO152" s="6">
        <f>U152*'Front page'!$E$3</f>
        <v>0</v>
      </c>
      <c r="AP152" s="6">
        <f>W152*'Front page'!$E$3</f>
        <v>463148.51195238088</v>
      </c>
      <c r="AQ152" s="6">
        <f>V152*'Front page'!$E$3</f>
        <v>0</v>
      </c>
      <c r="AR152" s="6">
        <f>X152*'Front page'!$E$3</f>
        <v>0</v>
      </c>
      <c r="AS152" s="6">
        <f t="shared" si="25"/>
        <v>1147271.7042004918</v>
      </c>
      <c r="AT152" s="7">
        <f>IF(AS152&gt;'Funding Comparison'!D152*(1+'Front page'!$H$10),'Funding Comparison'!D152*(1+'Front page'!$H$10),AS152)</f>
        <v>1063959.4382499999</v>
      </c>
    </row>
    <row r="153" spans="1:46" s="30" customFormat="1">
      <c r="A153" s="30" t="str">
        <f t="shared" si="18"/>
        <v>490</v>
      </c>
      <c r="B153" s="30">
        <f t="shared" si="20"/>
        <v>490</v>
      </c>
      <c r="C153" s="16" t="s">
        <v>162</v>
      </c>
      <c r="D153">
        <f>IF(settings!$G$4=0,'Student Enrollment Data'!AX154,'Student Enrollment Data'!CK154)</f>
        <v>451</v>
      </c>
      <c r="E153">
        <f>IF(settings!$G$4=0,'Student Enrollment Data'!AY154,'Student Enrollment Data'!CL154)</f>
        <v>63</v>
      </c>
      <c r="F153">
        <f>IF(settings!$G$4=0,'Student Enrollment Data'!AZ154,'Student Enrollment Data'!CM154)</f>
        <v>210</v>
      </c>
      <c r="G153" s="31">
        <f>'Student Enrollment Data'!BK154</f>
        <v>36</v>
      </c>
      <c r="H153" s="30">
        <f>'Student Enrollment Data'!BF154</f>
        <v>215</v>
      </c>
      <c r="I153">
        <f>SUM('Student Enrollment Data'!R154:X154,'Student Enrollment Data'!AQ154:AW154)</f>
        <v>0</v>
      </c>
      <c r="J153" s="30">
        <f>'Student Enrollment Data'!BS154</f>
        <v>46.656896703435152</v>
      </c>
      <c r="K153">
        <f t="shared" si="21"/>
        <v>45.1</v>
      </c>
      <c r="L153" s="28"/>
      <c r="M153" s="30">
        <f t="shared" si="19"/>
        <v>451</v>
      </c>
      <c r="N153" s="30">
        <f>E153*'Front page'!$B$20</f>
        <v>6.3000000000000007</v>
      </c>
      <c r="O153" s="30">
        <f>F153*'Front page'!$B$21</f>
        <v>21</v>
      </c>
      <c r="P153">
        <f>G153*'Front page'!$B$18</f>
        <v>23.400000000000002</v>
      </c>
      <c r="Q153" s="30">
        <f>IF(settings!$B$4=0,Calculations!H153,Calculations!I153) *'Front page'!$B$11</f>
        <v>21.5</v>
      </c>
      <c r="R153" s="31">
        <f>ROUND(I153*'Front page'!$B$9,2)</f>
        <v>0</v>
      </c>
      <c r="S153" s="30">
        <f>J153*'Front page'!$B$14</f>
        <v>4.6656896703435153</v>
      </c>
      <c r="T153" s="103">
        <f>'Front page'!$B$16*Calculations!K153</f>
        <v>0.90200000000000002</v>
      </c>
      <c r="U153" s="103">
        <f>IF(settings!$B$13=0,(Calculations!M153*'District Wealth Adjustment'!M152)-Calculations!M153,0)</f>
        <v>0</v>
      </c>
      <c r="V153" s="185">
        <f>VLOOKUP(B153,'Remote School Building Weight'!$M$2:$P$174,3,FALSE)</f>
        <v>0</v>
      </c>
      <c r="W153" s="25">
        <f>'Small Dist Weight'!V152-Calculations!D153</f>
        <v>206.41996081504703</v>
      </c>
      <c r="X153" s="25">
        <f>IF(settings!$P$9=0,'Large District Weight'!H152*'Large District Weight'!G152,0)</f>
        <v>0</v>
      </c>
      <c r="Y153" s="25">
        <f t="shared" si="22"/>
        <v>735.18765048539069</v>
      </c>
      <c r="Z153" s="25">
        <f>IF(settings!$F$13=0,'Teacher Exp'!L153,0)</f>
        <v>1.0454680267956857</v>
      </c>
      <c r="AA153" s="25">
        <f t="shared" si="23"/>
        <v>736.23311851218637</v>
      </c>
      <c r="AB153" s="28"/>
      <c r="AC153" s="26">
        <f>'Student Enrollment Data'!BU154</f>
        <v>9</v>
      </c>
      <c r="AD153" s="26">
        <f t="shared" si="24"/>
        <v>45.1</v>
      </c>
      <c r="AE153" s="26">
        <f>AD153*'Front page'!$B$16</f>
        <v>0.90200000000000002</v>
      </c>
      <c r="AG153" s="6">
        <f>M153*'Front page'!$E$3</f>
        <v>1910792.9529819281</v>
      </c>
      <c r="AH153" s="6">
        <f>N153*'Front page'!$E$3</f>
        <v>26691.786261166628</v>
      </c>
      <c r="AI153" s="6">
        <f>O153*'Front page'!$E$3</f>
        <v>88972.620870555416</v>
      </c>
      <c r="AJ153" s="6">
        <f>P153*'Front page'!$E$3</f>
        <v>99140.920398618895</v>
      </c>
      <c r="AK153" s="6">
        <f>Q153*'Front page'!$E$3</f>
        <v>91091.016605568642</v>
      </c>
      <c r="AL153" s="6">
        <f>S153*'Front page'!$E$3</f>
        <v>19767.554197101916</v>
      </c>
      <c r="AM153" s="5">
        <f>Z153*'Front page'!$E$3</f>
        <v>4429.430018113344</v>
      </c>
      <c r="AN153" s="6">
        <f>T153*'Front page'!$E$3</f>
        <v>3821.5859059638565</v>
      </c>
      <c r="AO153" s="6">
        <f>U153*'Front page'!$E$3</f>
        <v>0</v>
      </c>
      <c r="AP153" s="6">
        <f>W153*'Front page'!$E$3</f>
        <v>874558.32922438497</v>
      </c>
      <c r="AQ153" s="6">
        <f>V153*'Front page'!$E$3</f>
        <v>0</v>
      </c>
      <c r="AR153" s="6">
        <f>X153*'Front page'!$E$3</f>
        <v>0</v>
      </c>
      <c r="AS153" s="6">
        <f t="shared" si="25"/>
        <v>3119266.1964634019</v>
      </c>
      <c r="AT153" s="7">
        <f>IF(AS153&gt;'Funding Comparison'!D153*(1+'Front page'!$H$10),'Funding Comparison'!D153*(1+'Front page'!$H$10),AS153)</f>
        <v>3119266.1964634019</v>
      </c>
    </row>
    <row r="154" spans="1:46" s="30" customFormat="1">
      <c r="A154" s="30" t="str">
        <f t="shared" si="18"/>
        <v>491</v>
      </c>
      <c r="B154" s="30">
        <f t="shared" si="20"/>
        <v>491</v>
      </c>
      <c r="C154" s="16" t="s">
        <v>163</v>
      </c>
      <c r="D154">
        <f>IF(settings!$G$4=0,'Student Enrollment Data'!AX155,'Student Enrollment Data'!CK155)</f>
        <v>687</v>
      </c>
      <c r="E154">
        <f>IF(settings!$G$4=0,'Student Enrollment Data'!AY155,'Student Enrollment Data'!CL155)</f>
        <v>0</v>
      </c>
      <c r="F154">
        <f>IF(settings!$G$4=0,'Student Enrollment Data'!AZ155,'Student Enrollment Data'!CM155)</f>
        <v>303</v>
      </c>
      <c r="G154" s="31">
        <f>'Student Enrollment Data'!BK155</f>
        <v>12</v>
      </c>
      <c r="H154" s="30">
        <f>'Student Enrollment Data'!BF155</f>
        <v>295.39</v>
      </c>
      <c r="I154">
        <f>SUM('Student Enrollment Data'!R155:X155,'Student Enrollment Data'!AQ155:AW155)</f>
        <v>0</v>
      </c>
      <c r="J154" s="30">
        <f>'Student Enrollment Data'!BS155</f>
        <v>0</v>
      </c>
      <c r="K154">
        <f t="shared" si="21"/>
        <v>68.7</v>
      </c>
      <c r="L154" s="28"/>
      <c r="M154" s="30">
        <f t="shared" si="19"/>
        <v>687</v>
      </c>
      <c r="N154" s="30">
        <f>E154*'Front page'!$B$20</f>
        <v>0</v>
      </c>
      <c r="O154" s="30">
        <f>F154*'Front page'!$B$21</f>
        <v>30.3</v>
      </c>
      <c r="P154">
        <f>G154*'Front page'!$B$18</f>
        <v>7.8000000000000007</v>
      </c>
      <c r="Q154" s="30">
        <f>IF(settings!$B$4=0,Calculations!H154,Calculations!I154) *'Front page'!$B$11</f>
        <v>29.539000000000001</v>
      </c>
      <c r="R154" s="31">
        <f>ROUND(I154*'Front page'!$B$9,2)</f>
        <v>0</v>
      </c>
      <c r="S154" s="30">
        <f>J154*'Front page'!$B$14</f>
        <v>0</v>
      </c>
      <c r="T154" s="103">
        <f>'Front page'!$B$16*Calculations!K154</f>
        <v>1.3740000000000001</v>
      </c>
      <c r="U154" s="103">
        <f>IF(settings!$B$13=0,(Calculations!M154*'District Wealth Adjustment'!M153)-Calculations!M154,0)</f>
        <v>0</v>
      </c>
      <c r="V154" s="185">
        <f>VLOOKUP(B154,'Remote School Building Weight'!$M$2:$P$174,3,FALSE)</f>
        <v>0</v>
      </c>
      <c r="W154" s="25">
        <f>'Small Dist Weight'!V153-Calculations!D154</f>
        <v>159.91582288401264</v>
      </c>
      <c r="X154" s="25">
        <f>IF(settings!$P$9=0,'Large District Weight'!H153*'Large District Weight'!G153,0)</f>
        <v>0</v>
      </c>
      <c r="Y154" s="25">
        <f t="shared" si="22"/>
        <v>915.92882288401256</v>
      </c>
      <c r="Z154" s="25">
        <f>IF(settings!$F$13=0,'Teacher Exp'!L154,0)</f>
        <v>19.242760434674327</v>
      </c>
      <c r="AA154" s="25">
        <f t="shared" si="23"/>
        <v>935.17158331868688</v>
      </c>
      <c r="AB154" s="28"/>
      <c r="AC154" s="26">
        <f>'Student Enrollment Data'!BU155</f>
        <v>0</v>
      </c>
      <c r="AD154" s="26">
        <f t="shared" si="24"/>
        <v>68.7</v>
      </c>
      <c r="AE154" s="26">
        <f>AD154*'Front page'!$B$16</f>
        <v>1.3740000000000001</v>
      </c>
      <c r="AG154" s="6">
        <f>M154*'Front page'!$E$3</f>
        <v>2910675.73990817</v>
      </c>
      <c r="AH154" s="6">
        <f>N154*'Front page'!$E$3</f>
        <v>0</v>
      </c>
      <c r="AI154" s="6">
        <f>O154*'Front page'!$E$3</f>
        <v>128374.78154180138</v>
      </c>
      <c r="AJ154" s="6">
        <f>P154*'Front page'!$E$3</f>
        <v>33046.973466206298</v>
      </c>
      <c r="AK154" s="6">
        <f>Q154*'Front page'!$E$3</f>
        <v>125150.58323311126</v>
      </c>
      <c r="AL154" s="6">
        <f>S154*'Front page'!$E$3</f>
        <v>0</v>
      </c>
      <c r="AM154" s="5">
        <f>Z154*'Front page'!$E$3</f>
        <v>81527.563269390623</v>
      </c>
      <c r="AN154" s="6">
        <f>T154*'Front page'!$E$3</f>
        <v>5821.3514798163405</v>
      </c>
      <c r="AO154" s="6">
        <f>U154*'Front page'!$E$3</f>
        <v>0</v>
      </c>
      <c r="AP154" s="6">
        <f>W154*'Front page'!$E$3</f>
        <v>677529.99431724509</v>
      </c>
      <c r="AQ154" s="6">
        <f>V154*'Front page'!$E$3</f>
        <v>0</v>
      </c>
      <c r="AR154" s="6">
        <f>X154*'Front page'!$E$3</f>
        <v>0</v>
      </c>
      <c r="AS154" s="6">
        <f t="shared" si="25"/>
        <v>3962126.9872157411</v>
      </c>
      <c r="AT154" s="7">
        <f>IF(AS154&gt;'Funding Comparison'!D154*(1+'Front page'!$H$10),'Funding Comparison'!D154*(1+'Front page'!$H$10),AS154)</f>
        <v>3962126.9872157411</v>
      </c>
    </row>
    <row r="155" spans="1:46" s="30" customFormat="1">
      <c r="A155" s="30" t="str">
        <f t="shared" si="18"/>
        <v>492</v>
      </c>
      <c r="B155" s="30">
        <f>A155*1</f>
        <v>492</v>
      </c>
      <c r="C155" s="16" t="s">
        <v>164</v>
      </c>
      <c r="D155">
        <f>IF(settings!$G$4=0,'Student Enrollment Data'!AX156,'Student Enrollment Data'!CK156)</f>
        <v>354</v>
      </c>
      <c r="E155">
        <f>IF(settings!$G$4=0,'Student Enrollment Data'!AY156,'Student Enrollment Data'!CL156)</f>
        <v>127</v>
      </c>
      <c r="F155">
        <f>IF(settings!$G$4=0,'Student Enrollment Data'!AZ156,'Student Enrollment Data'!CM156)</f>
        <v>0</v>
      </c>
      <c r="G155" s="31">
        <f>'Student Enrollment Data'!BK156</f>
        <v>27</v>
      </c>
      <c r="H155" s="30">
        <f>'Student Enrollment Data'!BF156</f>
        <v>159.94999999999999</v>
      </c>
      <c r="I155">
        <f>SUM('Student Enrollment Data'!R156:X156,'Student Enrollment Data'!AQ156:AW156)</f>
        <v>0</v>
      </c>
      <c r="J155" s="30">
        <f>'Student Enrollment Data'!BS156</f>
        <v>29.665337744785099</v>
      </c>
      <c r="K155">
        <f t="shared" si="21"/>
        <v>35.4</v>
      </c>
      <c r="L155" s="28"/>
      <c r="M155" s="30">
        <f t="shared" si="19"/>
        <v>354</v>
      </c>
      <c r="N155" s="30">
        <f>E155*'Front page'!$B$20</f>
        <v>12.700000000000001</v>
      </c>
      <c r="O155" s="30">
        <f>F155*'Front page'!$B$21</f>
        <v>0</v>
      </c>
      <c r="P155">
        <f>G155*'Front page'!$B$18</f>
        <v>17.55</v>
      </c>
      <c r="Q155" s="30">
        <f>IF(settings!$B$4=0,Calculations!H155,Calculations!I155) *'Front page'!$B$11</f>
        <v>15.994999999999999</v>
      </c>
      <c r="R155" s="31">
        <f>ROUND(I155*'Front page'!$B$9,2)</f>
        <v>0</v>
      </c>
      <c r="S155" s="30">
        <f>J155*'Front page'!$B$14</f>
        <v>2.9665337744785099</v>
      </c>
      <c r="T155" s="103">
        <f>'Front page'!$B$16*Calculations!K155</f>
        <v>0.70799999999999996</v>
      </c>
      <c r="U155" s="103">
        <f>IF(settings!$B$13=0,(Calculations!M155*'District Wealth Adjustment'!M154)-Calculations!M155,0)</f>
        <v>0</v>
      </c>
      <c r="V155" s="185">
        <f>VLOOKUP(B155,'Remote School Building Weight'!$M$2:$P$174,3,FALSE)</f>
        <v>0</v>
      </c>
      <c r="W155" s="25">
        <f>'Small Dist Weight'!V154-Calculations!D155</f>
        <v>119.53608150470222</v>
      </c>
      <c r="X155" s="25">
        <f>IF(settings!$P$9=0,'Large District Weight'!H154*'Large District Weight'!G154,0)</f>
        <v>0</v>
      </c>
      <c r="Y155" s="25">
        <f t="shared" si="22"/>
        <v>523.45561527918085</v>
      </c>
      <c r="Z155" s="25">
        <f>IF(settings!$F$13=0,'Teacher Exp'!L155,0)</f>
        <v>0</v>
      </c>
      <c r="AA155" s="25">
        <f t="shared" si="23"/>
        <v>523.45561527918085</v>
      </c>
      <c r="AB155" s="28"/>
      <c r="AC155" s="26">
        <f>'Student Enrollment Data'!BU156</f>
        <v>9</v>
      </c>
      <c r="AD155" s="26">
        <f t="shared" si="24"/>
        <v>35.4</v>
      </c>
      <c r="AE155" s="26">
        <f>AD155*'Front page'!$B$16</f>
        <v>0.70799999999999996</v>
      </c>
      <c r="AG155" s="6">
        <f>M155*'Front page'!$E$3</f>
        <v>1499824.1803893626</v>
      </c>
      <c r="AH155" s="6">
        <f>N155*'Front page'!$E$3</f>
        <v>53807.251669335899</v>
      </c>
      <c r="AI155" s="6">
        <f>O155*'Front page'!$E$3</f>
        <v>0</v>
      </c>
      <c r="AJ155" s="6">
        <f>P155*'Front page'!$E$3</f>
        <v>74355.690298964168</v>
      </c>
      <c r="AK155" s="6">
        <f>Q155*'Front page'!$E$3</f>
        <v>67767.479563073037</v>
      </c>
      <c r="AL155" s="6">
        <f>S155*'Front page'!$E$3</f>
        <v>12568.584991255913</v>
      </c>
      <c r="AM155" s="5">
        <f>Z155*'Front page'!$E$3</f>
        <v>0</v>
      </c>
      <c r="AN155" s="6">
        <f>T155*'Front page'!$E$3</f>
        <v>2999.648360778725</v>
      </c>
      <c r="AO155" s="6">
        <f>U155*'Front page'!$E$3</f>
        <v>0</v>
      </c>
      <c r="AP155" s="6">
        <f>W155*'Front page'!$E$3</f>
        <v>506449.45047950867</v>
      </c>
      <c r="AQ155" s="6">
        <f>V155*'Front page'!$E$3</f>
        <v>0</v>
      </c>
      <c r="AR155" s="6">
        <f>X155*'Front page'!$E$3</f>
        <v>0</v>
      </c>
      <c r="AS155" s="6">
        <f t="shared" si="25"/>
        <v>2217772.2857522792</v>
      </c>
      <c r="AT155" s="7">
        <f>IF(AS155&gt;'Funding Comparison'!D155*(1+'Front page'!$H$10),'Funding Comparison'!D155*(1+'Front page'!$H$10),AS155)</f>
        <v>2182077.5915000001</v>
      </c>
    </row>
    <row r="156" spans="1:46" s="30" customFormat="1">
      <c r="A156" s="30" t="str">
        <f t="shared" si="18"/>
        <v>493</v>
      </c>
      <c r="B156" s="30">
        <f t="shared" si="20"/>
        <v>493</v>
      </c>
      <c r="C156" s="16" t="s">
        <v>165</v>
      </c>
      <c r="D156">
        <f>IF(settings!$G$4=0,'Student Enrollment Data'!AX157,'Student Enrollment Data'!CK157)</f>
        <v>933</v>
      </c>
      <c r="E156">
        <f>IF(settings!$G$4=0,'Student Enrollment Data'!AY157,'Student Enrollment Data'!CL157)</f>
        <v>300</v>
      </c>
      <c r="F156">
        <f>IF(settings!$G$4=0,'Student Enrollment Data'!AZ157,'Student Enrollment Data'!CM157)</f>
        <v>140</v>
      </c>
      <c r="G156" s="31">
        <f>'Student Enrollment Data'!BK157</f>
        <v>42</v>
      </c>
      <c r="H156" s="30">
        <f>'Student Enrollment Data'!BF157</f>
        <v>419.22</v>
      </c>
      <c r="I156">
        <f>SUM('Student Enrollment Data'!R157:X157,'Student Enrollment Data'!AQ157:AW157)</f>
        <v>0</v>
      </c>
      <c r="J156" s="30">
        <f>'Student Enrollment Data'!BS157</f>
        <v>77.74078278416367</v>
      </c>
      <c r="K156">
        <f t="shared" si="21"/>
        <v>93.300000000000011</v>
      </c>
      <c r="L156" s="28"/>
      <c r="M156" s="30">
        <f t="shared" si="19"/>
        <v>933</v>
      </c>
      <c r="N156" s="30">
        <f>E156*'Front page'!$B$20</f>
        <v>30</v>
      </c>
      <c r="O156" s="30">
        <f>F156*'Front page'!$B$21</f>
        <v>14</v>
      </c>
      <c r="P156">
        <f>G156*'Front page'!$B$18</f>
        <v>27.3</v>
      </c>
      <c r="Q156" s="30">
        <f>IF(settings!$B$4=0,Calculations!H156,Calculations!I156) *'Front page'!$B$11</f>
        <v>41.922000000000004</v>
      </c>
      <c r="R156" s="31">
        <f>ROUND(I156*'Front page'!$B$9,2)</f>
        <v>0</v>
      </c>
      <c r="S156" s="30">
        <f>J156*'Front page'!$B$14</f>
        <v>7.7740782784163676</v>
      </c>
      <c r="T156" s="103">
        <f>'Front page'!$B$16*Calculations!K156</f>
        <v>1.8660000000000003</v>
      </c>
      <c r="U156" s="103">
        <f>IF(settings!$B$13=0,(Calculations!M156*'District Wealth Adjustment'!M155)-Calculations!M156,0)</f>
        <v>0</v>
      </c>
      <c r="V156" s="185">
        <f>VLOOKUP(B156,'Remote School Building Weight'!$M$2:$P$174,3,FALSE)</f>
        <v>0</v>
      </c>
      <c r="W156" s="25">
        <f>'Small Dist Weight'!V155-Calculations!D156</f>
        <v>147.35482758620674</v>
      </c>
      <c r="X156" s="25">
        <f>IF(settings!$P$9=0,'Large District Weight'!H155*'Large District Weight'!G155,0)</f>
        <v>0</v>
      </c>
      <c r="Y156" s="25">
        <f t="shared" si="22"/>
        <v>1203.216905864623</v>
      </c>
      <c r="Z156" s="25">
        <f>IF(settings!$F$13=0,'Teacher Exp'!L156,0)</f>
        <v>18.480278745653155</v>
      </c>
      <c r="AA156" s="25">
        <f t="shared" si="23"/>
        <v>1221.6971846102761</v>
      </c>
      <c r="AB156" s="28"/>
      <c r="AC156" s="26">
        <f>'Student Enrollment Data'!BU157</f>
        <v>6</v>
      </c>
      <c r="AD156" s="26">
        <f t="shared" si="24"/>
        <v>93.300000000000011</v>
      </c>
      <c r="AE156" s="26">
        <f>AD156*'Front page'!$B$16</f>
        <v>1.8660000000000003</v>
      </c>
      <c r="AG156" s="6">
        <f>M156*'Front page'!$E$3</f>
        <v>3952926.4415346761</v>
      </c>
      <c r="AH156" s="6">
        <f>N156*'Front page'!$E$3</f>
        <v>127103.74410079344</v>
      </c>
      <c r="AI156" s="6">
        <f>O156*'Front page'!$E$3</f>
        <v>59315.080580370275</v>
      </c>
      <c r="AJ156" s="6">
        <f>P156*'Front page'!$E$3</f>
        <v>115664.40713172204</v>
      </c>
      <c r="AK156" s="6">
        <f>Q156*'Front page'!$E$3</f>
        <v>177614.77200644877</v>
      </c>
      <c r="AL156" s="6">
        <f>S156*'Front page'!$E$3</f>
        <v>32937.148537312365</v>
      </c>
      <c r="AM156" s="5">
        <f>Z156*'Front page'!$E$3</f>
        <v>78297.087353294366</v>
      </c>
      <c r="AN156" s="6">
        <f>T156*'Front page'!$E$3</f>
        <v>7905.852883069354</v>
      </c>
      <c r="AO156" s="6">
        <f>U156*'Front page'!$E$3</f>
        <v>0</v>
      </c>
      <c r="AP156" s="6">
        <f>W156*'Front page'!$E$3</f>
        <v>624311.67658445868</v>
      </c>
      <c r="AQ156" s="6">
        <f>V156*'Front page'!$E$3</f>
        <v>0</v>
      </c>
      <c r="AR156" s="6">
        <f>X156*'Front page'!$E$3</f>
        <v>0</v>
      </c>
      <c r="AS156" s="6">
        <f t="shared" si="25"/>
        <v>5176076.210712146</v>
      </c>
      <c r="AT156" s="7">
        <f>IF(AS156&gt;'Funding Comparison'!D156*(1+'Front page'!$H$10),'Funding Comparison'!D156*(1+'Front page'!$H$10),AS156)</f>
        <v>5176076.210712146</v>
      </c>
    </row>
    <row r="157" spans="1:46" s="30" customFormat="1">
      <c r="A157" s="30" t="str">
        <f t="shared" si="18"/>
        <v>494</v>
      </c>
      <c r="B157" s="30">
        <f t="shared" si="20"/>
        <v>494</v>
      </c>
      <c r="C157" s="16" t="s">
        <v>166</v>
      </c>
      <c r="D157">
        <f>IF(settings!$G$4=0,'Student Enrollment Data'!AX158,'Student Enrollment Data'!CK158)</f>
        <v>327</v>
      </c>
      <c r="E157">
        <f>IF(settings!$G$4=0,'Student Enrollment Data'!AY158,'Student Enrollment Data'!CL158)</f>
        <v>128</v>
      </c>
      <c r="F157">
        <f>IF(settings!$G$4=0,'Student Enrollment Data'!AZ158,'Student Enrollment Data'!CM158)</f>
        <v>0</v>
      </c>
      <c r="G157" s="31">
        <f>'Student Enrollment Data'!BK158</f>
        <v>44</v>
      </c>
      <c r="H157" s="30">
        <f>'Student Enrollment Data'!BF158</f>
        <v>93</v>
      </c>
      <c r="I157">
        <f>SUM('Student Enrollment Data'!R158:X158,'Student Enrollment Data'!AQ158:AW158)</f>
        <v>0</v>
      </c>
      <c r="J157" s="30">
        <f>'Student Enrollment Data'!BS158</f>
        <v>27.69510573188899</v>
      </c>
      <c r="K157">
        <f t="shared" si="21"/>
        <v>32.700000000000003</v>
      </c>
      <c r="L157" s="28"/>
      <c r="M157" s="30">
        <f t="shared" si="19"/>
        <v>327</v>
      </c>
      <c r="N157" s="30">
        <f>E157*'Front page'!$B$20</f>
        <v>12.8</v>
      </c>
      <c r="O157" s="30">
        <f>F157*'Front page'!$B$21</f>
        <v>0</v>
      </c>
      <c r="P157">
        <f>G157*'Front page'!$B$18</f>
        <v>28.6</v>
      </c>
      <c r="Q157" s="30">
        <f>IF(settings!$B$4=0,Calculations!H157,Calculations!I157) *'Front page'!$B$11</f>
        <v>9.3000000000000007</v>
      </c>
      <c r="R157" s="31">
        <f>ROUND(I157*'Front page'!$B$9,2)</f>
        <v>0</v>
      </c>
      <c r="S157" s="30">
        <f>J157*'Front page'!$B$14</f>
        <v>2.7695105731888994</v>
      </c>
      <c r="T157" s="103">
        <f>'Front page'!$B$16*Calculations!K157</f>
        <v>0.65400000000000003</v>
      </c>
      <c r="U157" s="103">
        <f>IF(settings!$B$13=0,(Calculations!M157*'District Wealth Adjustment'!M156)-Calculations!M157,0)</f>
        <v>0</v>
      </c>
      <c r="V157" s="185">
        <f>VLOOKUP(B157,'Remote School Building Weight'!$M$2:$P$174,3,FALSE)</f>
        <v>0</v>
      </c>
      <c r="W157" s="25">
        <f>'Small Dist Weight'!V156-Calculations!D157</f>
        <v>108.06217084639502</v>
      </c>
      <c r="X157" s="25">
        <f>IF(settings!$P$9=0,'Large District Weight'!H156*'Large District Weight'!G156,0)</f>
        <v>0</v>
      </c>
      <c r="Y157" s="25">
        <f t="shared" si="22"/>
        <v>489.18568141958394</v>
      </c>
      <c r="Z157" s="25">
        <f>IF(settings!$F$13=0,'Teacher Exp'!L157,0)</f>
        <v>0</v>
      </c>
      <c r="AA157" s="25">
        <f t="shared" si="23"/>
        <v>489.18568141958394</v>
      </c>
      <c r="AB157" s="28"/>
      <c r="AC157" s="26">
        <f>'Student Enrollment Data'!BU158</f>
        <v>11</v>
      </c>
      <c r="AD157" s="26">
        <f t="shared" si="24"/>
        <v>32.700000000000003</v>
      </c>
      <c r="AE157" s="26">
        <f>AD157*'Front page'!$B$16</f>
        <v>0.65400000000000003</v>
      </c>
      <c r="AG157" s="6">
        <f>M157*'Front page'!$E$3</f>
        <v>1385430.8106986487</v>
      </c>
      <c r="AH157" s="6">
        <f>N157*'Front page'!$E$3</f>
        <v>54230.930816338543</v>
      </c>
      <c r="AI157" s="6">
        <f>O157*'Front page'!$E$3</f>
        <v>0</v>
      </c>
      <c r="AJ157" s="6">
        <f>P157*'Front page'!$E$3</f>
        <v>121172.23604275643</v>
      </c>
      <c r="AK157" s="6">
        <f>Q157*'Front page'!$E$3</f>
        <v>39402.160671245969</v>
      </c>
      <c r="AL157" s="6">
        <f>S157*'Front page'!$E$3</f>
        <v>11733.838772634788</v>
      </c>
      <c r="AM157" s="5">
        <f>Z157*'Front page'!$E$3</f>
        <v>0</v>
      </c>
      <c r="AN157" s="6">
        <f>T157*'Front page'!$E$3</f>
        <v>2770.8616213972973</v>
      </c>
      <c r="AO157" s="6">
        <f>U157*'Front page'!$E$3</f>
        <v>0</v>
      </c>
      <c r="AP157" s="6">
        <f>W157*'Front page'!$E$3</f>
        <v>457836.88367454713</v>
      </c>
      <c r="AQ157" s="6">
        <f>V157*'Front page'!$E$3</f>
        <v>0</v>
      </c>
      <c r="AR157" s="6">
        <f>X157*'Front page'!$E$3</f>
        <v>0</v>
      </c>
      <c r="AS157" s="6">
        <f t="shared" si="25"/>
        <v>2072577.7222975688</v>
      </c>
      <c r="AT157" s="7">
        <f>IF(AS157&gt;'Funding Comparison'!D157*(1+'Front page'!$H$10),'Funding Comparison'!D157*(1+'Front page'!$H$10),AS157)</f>
        <v>1972772.0062499999</v>
      </c>
    </row>
    <row r="158" spans="1:46" s="30" customFormat="1">
      <c r="A158" s="30" t="str">
        <f t="shared" si="18"/>
        <v>495</v>
      </c>
      <c r="B158" s="30">
        <f t="shared" si="20"/>
        <v>495</v>
      </c>
      <c r="C158" s="16" t="s">
        <v>167</v>
      </c>
      <c r="D158">
        <f>IF(settings!$G$4=0,'Student Enrollment Data'!AX159,'Student Enrollment Data'!CK159)</f>
        <v>434</v>
      </c>
      <c r="E158">
        <f>IF(settings!$G$4=0,'Student Enrollment Data'!AY159,'Student Enrollment Data'!CL159)</f>
        <v>175</v>
      </c>
      <c r="F158">
        <f>IF(settings!$G$4=0,'Student Enrollment Data'!AZ159,'Student Enrollment Data'!CM159)</f>
        <v>0</v>
      </c>
      <c r="G158" s="31">
        <f>'Student Enrollment Data'!BK159</f>
        <v>24</v>
      </c>
      <c r="H158" s="30">
        <f>'Student Enrollment Data'!BF159</f>
        <v>199.93</v>
      </c>
      <c r="I158">
        <f>SUM('Student Enrollment Data'!R159:X159,'Student Enrollment Data'!AQ159:AW159)</f>
        <v>0</v>
      </c>
      <c r="J158" s="30">
        <f>'Student Enrollment Data'!BS159</f>
        <v>7</v>
      </c>
      <c r="K158">
        <f t="shared" si="21"/>
        <v>43.400000000000006</v>
      </c>
      <c r="L158" s="28"/>
      <c r="M158" s="30">
        <f t="shared" si="19"/>
        <v>434</v>
      </c>
      <c r="N158" s="30">
        <f>E158*'Front page'!$B$20</f>
        <v>17.5</v>
      </c>
      <c r="O158" s="30">
        <f>F158*'Front page'!$B$21</f>
        <v>0</v>
      </c>
      <c r="P158">
        <f>G158*'Front page'!$B$18</f>
        <v>15.600000000000001</v>
      </c>
      <c r="Q158" s="30">
        <f>IF(settings!$B$4=0,Calculations!H158,Calculations!I158) *'Front page'!$B$11</f>
        <v>19.993000000000002</v>
      </c>
      <c r="R158" s="31">
        <f>ROUND(I158*'Front page'!$B$9,2)</f>
        <v>0</v>
      </c>
      <c r="S158" s="30">
        <f>J158*'Front page'!$B$14</f>
        <v>0.70000000000000007</v>
      </c>
      <c r="T158" s="103">
        <f>'Front page'!$B$16*Calculations!K158</f>
        <v>0.8680000000000001</v>
      </c>
      <c r="U158" s="103">
        <f>IF(settings!$B$13=0,(Calculations!M158*'District Wealth Adjustment'!M157)-Calculations!M158,0)</f>
        <v>0</v>
      </c>
      <c r="V158" s="185">
        <f>VLOOKUP(B158,'Remote School Building Weight'!$M$2:$P$174,3,FALSE)</f>
        <v>0</v>
      </c>
      <c r="W158" s="25">
        <f>'Small Dist Weight'!V157-Calculations!D158</f>
        <v>86.896551724137908</v>
      </c>
      <c r="X158" s="25">
        <f>IF(settings!$P$9=0,'Large District Weight'!H157*'Large District Weight'!G157,0)</f>
        <v>0</v>
      </c>
      <c r="Y158" s="25">
        <f t="shared" si="22"/>
        <v>575.55755172413797</v>
      </c>
      <c r="Z158" s="25">
        <f>IF(settings!$F$13=0,'Teacher Exp'!L158,0)</f>
        <v>0</v>
      </c>
      <c r="AA158" s="25">
        <f t="shared" si="23"/>
        <v>575.55755172413797</v>
      </c>
      <c r="AB158" s="28"/>
      <c r="AC158" s="26">
        <f>'Student Enrollment Data'!BU159</f>
        <v>0</v>
      </c>
      <c r="AD158" s="26">
        <f t="shared" si="24"/>
        <v>43.400000000000006</v>
      </c>
      <c r="AE158" s="26">
        <f>AD158*'Front page'!$B$16</f>
        <v>0.8680000000000001</v>
      </c>
      <c r="AG158" s="6">
        <f>M158*'Front page'!$E$3</f>
        <v>1838767.4979914785</v>
      </c>
      <c r="AH158" s="6">
        <f>N158*'Front page'!$E$3</f>
        <v>74143.850725462849</v>
      </c>
      <c r="AI158" s="6">
        <f>O158*'Front page'!$E$3</f>
        <v>0</v>
      </c>
      <c r="AJ158" s="6">
        <f>P158*'Front page'!$E$3</f>
        <v>66093.946932412597</v>
      </c>
      <c r="AK158" s="6">
        <f>Q158*'Front page'!$E$3</f>
        <v>84706.171860238785</v>
      </c>
      <c r="AL158" s="6">
        <f>S158*'Front page'!$E$3</f>
        <v>2965.7540290185138</v>
      </c>
      <c r="AM158" s="5">
        <f>Z158*'Front page'!$E$3</f>
        <v>0</v>
      </c>
      <c r="AN158" s="6">
        <f>T158*'Front page'!$E$3</f>
        <v>3677.5349959829573</v>
      </c>
      <c r="AO158" s="6">
        <f>U158*'Front page'!$E$3</f>
        <v>0</v>
      </c>
      <c r="AP158" s="6">
        <f>W158*'Front page'!$E$3</f>
        <v>368162.56911953952</v>
      </c>
      <c r="AQ158" s="6">
        <f>V158*'Front page'!$E$3</f>
        <v>0</v>
      </c>
      <c r="AR158" s="6">
        <f>X158*'Front page'!$E$3</f>
        <v>0</v>
      </c>
      <c r="AS158" s="6">
        <f t="shared" si="25"/>
        <v>2438517.3256541337</v>
      </c>
      <c r="AT158" s="7">
        <f>IF(AS158&gt;'Funding Comparison'!D158*(1+'Front page'!$H$10),'Funding Comparison'!D158*(1+'Front page'!$H$10),AS158)</f>
        <v>2100550.7955</v>
      </c>
    </row>
    <row r="159" spans="1:46" s="30" customFormat="1">
      <c r="A159" s="30" t="str">
        <f t="shared" si="18"/>
        <v>496</v>
      </c>
      <c r="B159" s="30">
        <f t="shared" si="20"/>
        <v>496</v>
      </c>
      <c r="C159" s="16" t="s">
        <v>168</v>
      </c>
      <c r="D159">
        <f>IF(settings!$G$4=0,'Student Enrollment Data'!AX160,'Student Enrollment Data'!CK160)</f>
        <v>172</v>
      </c>
      <c r="E159">
        <f>IF(settings!$G$4=0,'Student Enrollment Data'!AY160,'Student Enrollment Data'!CL160)</f>
        <v>86</v>
      </c>
      <c r="F159">
        <f>IF(settings!$G$4=0,'Student Enrollment Data'!AZ160,'Student Enrollment Data'!CM160)</f>
        <v>0</v>
      </c>
      <c r="G159" s="31">
        <f>'Student Enrollment Data'!BK160</f>
        <v>22</v>
      </c>
      <c r="H159" s="30">
        <f>'Student Enrollment Data'!BF160</f>
        <v>12</v>
      </c>
      <c r="I159">
        <f>SUM('Student Enrollment Data'!R160:X160,'Student Enrollment Data'!AQ160:AW160)</f>
        <v>0</v>
      </c>
      <c r="J159" s="30">
        <f>'Student Enrollment Data'!BS160</f>
        <v>0</v>
      </c>
      <c r="K159">
        <f t="shared" si="21"/>
        <v>17.2</v>
      </c>
      <c r="L159" s="28"/>
      <c r="M159" s="30">
        <f t="shared" si="19"/>
        <v>172</v>
      </c>
      <c r="N159" s="30">
        <f>E159*'Front page'!$B$20</f>
        <v>8.6</v>
      </c>
      <c r="O159" s="30">
        <f>F159*'Front page'!$B$21</f>
        <v>0</v>
      </c>
      <c r="P159">
        <f>G159*'Front page'!$B$18</f>
        <v>14.3</v>
      </c>
      <c r="Q159" s="30">
        <f>IF(settings!$B$4=0,Calculations!H159,Calculations!I159) *'Front page'!$B$11</f>
        <v>1.2000000000000002</v>
      </c>
      <c r="R159" s="31">
        <f>ROUND(I159*'Front page'!$B$9,2)</f>
        <v>0</v>
      </c>
      <c r="S159" s="30">
        <f>J159*'Front page'!$B$14</f>
        <v>0</v>
      </c>
      <c r="T159" s="103">
        <f>'Front page'!$B$16*Calculations!K159</f>
        <v>0.34399999999999997</v>
      </c>
      <c r="U159" s="103">
        <f>IF(settings!$B$13=0,(Calculations!M159*'District Wealth Adjustment'!M158)-Calculations!M159,0)</f>
        <v>0</v>
      </c>
      <c r="V159" s="185">
        <f>VLOOKUP(B159,'Remote School Building Weight'!$M$2:$P$174,3,FALSE)</f>
        <v>0</v>
      </c>
      <c r="W159" s="25">
        <f>'Small Dist Weight'!V158-Calculations!D159</f>
        <v>43.234545454545469</v>
      </c>
      <c r="X159" s="25">
        <f>IF(settings!$P$9=0,'Large District Weight'!H158*'Large District Weight'!G158,0)</f>
        <v>0</v>
      </c>
      <c r="Y159" s="25">
        <f t="shared" si="22"/>
        <v>239.67854545454546</v>
      </c>
      <c r="Z159" s="25">
        <f>IF(settings!$F$13=0,'Teacher Exp'!L159,0)</f>
        <v>0</v>
      </c>
      <c r="AA159" s="25">
        <f t="shared" si="23"/>
        <v>239.67854545454546</v>
      </c>
      <c r="AB159" s="28"/>
      <c r="AC159" s="26">
        <f>'Student Enrollment Data'!BU160</f>
        <v>3</v>
      </c>
      <c r="AD159" s="26">
        <f t="shared" si="24"/>
        <v>17.2</v>
      </c>
      <c r="AE159" s="26">
        <f>AD159*'Front page'!$B$16</f>
        <v>0.34399999999999997</v>
      </c>
      <c r="AG159" s="6">
        <f>M159*'Front page'!$E$3</f>
        <v>728728.13284454914</v>
      </c>
      <c r="AH159" s="6">
        <f>N159*'Front page'!$E$3</f>
        <v>36436.406642227455</v>
      </c>
      <c r="AI159" s="6">
        <f>O159*'Front page'!$E$3</f>
        <v>0</v>
      </c>
      <c r="AJ159" s="6">
        <f>P159*'Front page'!$E$3</f>
        <v>60586.118021378214</v>
      </c>
      <c r="AK159" s="6">
        <f>Q159*'Front page'!$E$3</f>
        <v>5084.1497640317384</v>
      </c>
      <c r="AL159" s="6">
        <f>S159*'Front page'!$E$3</f>
        <v>0</v>
      </c>
      <c r="AM159" s="5">
        <f>Z159*'Front page'!$E$3</f>
        <v>0</v>
      </c>
      <c r="AN159" s="6">
        <f>T159*'Front page'!$E$3</f>
        <v>1457.456265689098</v>
      </c>
      <c r="AO159" s="6">
        <f>U159*'Front page'!$E$3</f>
        <v>0</v>
      </c>
      <c r="AP159" s="6">
        <f>W159*'Front page'!$E$3</f>
        <v>183175.75339228899</v>
      </c>
      <c r="AQ159" s="6">
        <f>V159*'Front page'!$E$3</f>
        <v>0</v>
      </c>
      <c r="AR159" s="6">
        <f>X159*'Front page'!$E$3</f>
        <v>0</v>
      </c>
      <c r="AS159" s="6">
        <f t="shared" si="25"/>
        <v>1015468.0169301645</v>
      </c>
      <c r="AT159" s="7">
        <f>IF(AS159&gt;'Funding Comparison'!D159*(1+'Front page'!$H$10),'Funding Comparison'!D159*(1+'Front page'!$H$10),AS159)</f>
        <v>853176.97499999998</v>
      </c>
    </row>
    <row r="160" spans="1:46" s="30" customFormat="1">
      <c r="A160" s="30" t="str">
        <f t="shared" si="18"/>
        <v>497</v>
      </c>
      <c r="B160" s="30">
        <f t="shared" si="20"/>
        <v>497</v>
      </c>
      <c r="C160" s="16" t="s">
        <v>169</v>
      </c>
      <c r="D160">
        <f>IF(settings!$G$4=0,'Student Enrollment Data'!AX161,'Student Enrollment Data'!CK161)</f>
        <v>285</v>
      </c>
      <c r="E160">
        <f>IF(settings!$G$4=0,'Student Enrollment Data'!AY161,'Student Enrollment Data'!CL161)</f>
        <v>0</v>
      </c>
      <c r="F160">
        <f>IF(settings!$G$4=0,'Student Enrollment Data'!AZ161,'Student Enrollment Data'!CM161)</f>
        <v>285</v>
      </c>
      <c r="G160" s="31">
        <f>'Student Enrollment Data'!BK161</f>
        <v>11</v>
      </c>
      <c r="H160" s="30">
        <f>'Student Enrollment Data'!BF161</f>
        <v>122.54</v>
      </c>
      <c r="I160">
        <f>SUM('Student Enrollment Data'!R161:X161,'Student Enrollment Data'!AQ161:AW161)</f>
        <v>0</v>
      </c>
      <c r="J160" s="30">
        <f>'Student Enrollment Data'!BS161</f>
        <v>9.8578305146195788</v>
      </c>
      <c r="K160">
        <f t="shared" si="21"/>
        <v>28.5</v>
      </c>
      <c r="L160" s="28"/>
      <c r="M160" s="30">
        <f t="shared" si="19"/>
        <v>285</v>
      </c>
      <c r="N160" s="30">
        <f>E160*'Front page'!$B$20</f>
        <v>0</v>
      </c>
      <c r="O160" s="30">
        <f>F160*'Front page'!$B$21</f>
        <v>28.5</v>
      </c>
      <c r="P160">
        <f>G160*'Front page'!$B$18</f>
        <v>7.15</v>
      </c>
      <c r="Q160" s="30">
        <f>IF(settings!$B$4=0,Calculations!H160,Calculations!I160) *'Front page'!$B$11</f>
        <v>12.254000000000001</v>
      </c>
      <c r="R160" s="31">
        <f>ROUND(I160*'Front page'!$B$9,2)</f>
        <v>0</v>
      </c>
      <c r="S160" s="30">
        <f>J160*'Front page'!$B$14</f>
        <v>0.98578305146195788</v>
      </c>
      <c r="T160" s="103">
        <f>'Front page'!$B$16*Calculations!K160</f>
        <v>0.57000000000000006</v>
      </c>
      <c r="U160" s="103">
        <f>IF(settings!$B$13=0,(Calculations!M160*'District Wealth Adjustment'!M159)-Calculations!M160,0)</f>
        <v>0</v>
      </c>
      <c r="V160" s="185">
        <f>VLOOKUP(B160,'Remote School Building Weight'!$M$2:$P$174,3,FALSE)</f>
        <v>0</v>
      </c>
      <c r="W160" s="25">
        <f>'Small Dist Weight'!V159-Calculations!D160</f>
        <v>152.20474137931035</v>
      </c>
      <c r="X160" s="25">
        <f>IF(settings!$P$9=0,'Large District Weight'!H159*'Large District Weight'!G159,0)</f>
        <v>0</v>
      </c>
      <c r="Y160" s="25">
        <f t="shared" si="22"/>
        <v>486.6645244307723</v>
      </c>
      <c r="Z160" s="25">
        <f>IF(settings!$F$13=0,'Teacher Exp'!L160,0)</f>
        <v>0</v>
      </c>
      <c r="AA160" s="25">
        <f t="shared" si="23"/>
        <v>486.6645244307723</v>
      </c>
      <c r="AB160" s="28"/>
      <c r="AC160" s="26">
        <f>'Student Enrollment Data'!BU161</f>
        <v>0</v>
      </c>
      <c r="AD160" s="26">
        <f t="shared" si="24"/>
        <v>28.5</v>
      </c>
      <c r="AE160" s="26">
        <f>AD160*'Front page'!$B$16</f>
        <v>0.57000000000000006</v>
      </c>
      <c r="AG160" s="6">
        <f>M160*'Front page'!$E$3</f>
        <v>1207485.5689575376</v>
      </c>
      <c r="AH160" s="6">
        <f>N160*'Front page'!$E$3</f>
        <v>0</v>
      </c>
      <c r="AI160" s="6">
        <f>O160*'Front page'!$E$3</f>
        <v>120748.55689575378</v>
      </c>
      <c r="AJ160" s="6">
        <f>P160*'Front page'!$E$3</f>
        <v>30293.059010689107</v>
      </c>
      <c r="AK160" s="6">
        <f>Q160*'Front page'!$E$3</f>
        <v>51917.642673704104</v>
      </c>
      <c r="AL160" s="6">
        <f>S160*'Front page'!$E$3</f>
        <v>4176.557223730666</v>
      </c>
      <c r="AM160" s="5">
        <f>Z160*'Front page'!$E$3</f>
        <v>0</v>
      </c>
      <c r="AN160" s="6">
        <f>T160*'Front page'!$E$3</f>
        <v>2414.9711379150758</v>
      </c>
      <c r="AO160" s="6">
        <f>U160*'Front page'!$E$3</f>
        <v>0</v>
      </c>
      <c r="AP160" s="6">
        <f>W160*'Front page'!$E$3</f>
        <v>644859.74997344369</v>
      </c>
      <c r="AQ160" s="6">
        <f>V160*'Front page'!$E$3</f>
        <v>0</v>
      </c>
      <c r="AR160" s="6">
        <f>X160*'Front page'!$E$3</f>
        <v>0</v>
      </c>
      <c r="AS160" s="6">
        <f t="shared" si="25"/>
        <v>2061896.105872774</v>
      </c>
      <c r="AT160" s="7">
        <f>IF(AS160&gt;'Funding Comparison'!D160*(1+'Front page'!$H$10),'Funding Comparison'!D160*(1+'Front page'!$H$10),AS160)</f>
        <v>1036472.7202499999</v>
      </c>
    </row>
    <row r="161" spans="1:46" s="30" customFormat="1">
      <c r="A161" s="30">
        <v>498</v>
      </c>
      <c r="B161" s="30">
        <f t="shared" si="20"/>
        <v>498</v>
      </c>
      <c r="C161" s="30" t="s">
        <v>642</v>
      </c>
      <c r="D161">
        <f>IF(settings!$G$4=0,'Student Enrollment Data'!AX162,'Student Enrollment Data'!CK162)</f>
        <v>245</v>
      </c>
      <c r="E161">
        <f>IF(settings!$G$4=0,'Student Enrollment Data'!AY162,'Student Enrollment Data'!CL162)</f>
        <v>144</v>
      </c>
      <c r="F161">
        <f>IF(settings!$G$4=0,'Student Enrollment Data'!AZ162,'Student Enrollment Data'!CM162)</f>
        <v>0</v>
      </c>
      <c r="G161" s="31">
        <f>'Student Enrollment Data'!BK162</f>
        <v>30.395429030872521</v>
      </c>
      <c r="H161" s="30">
        <f>'Student Enrollment Data'!BF162</f>
        <v>115.66</v>
      </c>
      <c r="I161">
        <f>SUM('Student Enrollment Data'!R162:X162,'Student Enrollment Data'!AQ162:AW162)</f>
        <v>0</v>
      </c>
      <c r="J161" s="30">
        <f>'Student Enrollment Data'!BS162</f>
        <v>22.004897444641362</v>
      </c>
      <c r="K161">
        <f t="shared" ref="K161:K165" si="26">M161*0.1</f>
        <v>24.5</v>
      </c>
      <c r="L161" s="28"/>
      <c r="M161" s="30">
        <f t="shared" ref="M161:M165" si="27">MAX(D161,30)</f>
        <v>245</v>
      </c>
      <c r="N161" s="30">
        <f>E161*'Front page'!$B$20</f>
        <v>14.4</v>
      </c>
      <c r="O161" s="30">
        <f>F161*'Front page'!$B$21</f>
        <v>0</v>
      </c>
      <c r="P161">
        <f>G161*'Front page'!$B$18</f>
        <v>19.757028870067138</v>
      </c>
      <c r="Q161" s="30">
        <f>IF(settings!$B$4=0,Calculations!H161,Calculations!I161) *'Front page'!$B$11</f>
        <v>11.566000000000001</v>
      </c>
      <c r="R161" s="31">
        <f>ROUND(I161*'Front page'!$B$9,2)</f>
        <v>0</v>
      </c>
      <c r="S161" s="30">
        <f>J161*'Front page'!$B$14</f>
        <v>2.2004897444641363</v>
      </c>
      <c r="T161" s="103">
        <f>'Front page'!$B$16*Calculations!K161</f>
        <v>0.49</v>
      </c>
      <c r="U161" s="103">
        <f>IF(settings!$B$13=0,(Calculations!M161*'District Wealth Adjustment'!M160)-Calculations!M161,0)</f>
        <v>0</v>
      </c>
      <c r="V161" s="185">
        <f>VLOOKUP(B161,'Remote School Building Weight'!$M$2:$P$174,3,FALSE)</f>
        <v>0</v>
      </c>
      <c r="W161" s="25">
        <f>'Small Dist Weight'!V160-Calculations!D161</f>
        <v>33.130681818181813</v>
      </c>
      <c r="X161" s="25">
        <f>IF(settings!$P$9=0,'Large District Weight'!H165*'Large District Weight'!G165,0)</f>
        <v>0</v>
      </c>
      <c r="Y161" s="25">
        <f t="shared" si="22"/>
        <v>326.54420043271307</v>
      </c>
      <c r="Z161" s="25">
        <f>IF(settings!$F$13=0,'Teacher Exp'!L161,0)</f>
        <v>0</v>
      </c>
      <c r="AA161" s="25">
        <f t="shared" si="23"/>
        <v>326.54420043271307</v>
      </c>
      <c r="AB161" s="28"/>
      <c r="AC161" s="26">
        <f>'Student Enrollment Data'!BU162</f>
        <v>0</v>
      </c>
      <c r="AD161" s="26">
        <f t="shared" ref="AD161:AD165" si="28">M161*0.1</f>
        <v>24.5</v>
      </c>
      <c r="AE161" s="26">
        <f>AD161*'Front page'!$B$16</f>
        <v>0.49</v>
      </c>
      <c r="AG161" s="6">
        <f>M161*'Front page'!$E$3</f>
        <v>1038013.9101564798</v>
      </c>
      <c r="AH161" s="6">
        <f>N161*'Front page'!$E$3</f>
        <v>61009.797168380857</v>
      </c>
      <c r="AI161" s="6">
        <f>O161*'Front page'!$E$3</f>
        <v>0</v>
      </c>
      <c r="AJ161" s="6">
        <f>P161*'Front page'!$E$3</f>
        <v>83706.411389766727</v>
      </c>
      <c r="AK161" s="6">
        <f>Q161*'Front page'!$E$3</f>
        <v>49002.730142325905</v>
      </c>
      <c r="AL161" s="6">
        <f>S161*'Front page'!$E$3</f>
        <v>9323.0161792263316</v>
      </c>
      <c r="AM161" s="5">
        <f>Z161*'Front page'!$E$3</f>
        <v>0</v>
      </c>
      <c r="AN161" s="6">
        <f>T161*'Front page'!$E$3</f>
        <v>2076.0278203129596</v>
      </c>
      <c r="AO161" s="6">
        <f>U161*'Front page'!$E$3</f>
        <v>0</v>
      </c>
      <c r="AP161" s="6">
        <f>W161*'Front page'!$E$3</f>
        <v>140367.79012343305</v>
      </c>
      <c r="AQ161" s="6">
        <f>V161*'Front page'!$E$3</f>
        <v>0</v>
      </c>
      <c r="AR161" s="6">
        <f>X161*'Front page'!$E$3</f>
        <v>0</v>
      </c>
      <c r="AS161" s="6">
        <f t="shared" ref="AS161:AS165" si="29">SUM(AG161:AR161)</f>
        <v>1383499.6829799255</v>
      </c>
      <c r="AT161" s="7">
        <f>IF(AS161&gt;'Funding Comparison'!D166*(1+'Front page'!$H$10),'Funding Comparison'!D166*(1+'Front page'!$H$10),AS161)</f>
        <v>1106249.9919999999</v>
      </c>
    </row>
    <row r="162" spans="1:46" s="30" customFormat="1">
      <c r="A162" s="30">
        <v>499</v>
      </c>
      <c r="B162" s="30">
        <f t="shared" si="20"/>
        <v>499</v>
      </c>
      <c r="C162" s="30" t="s">
        <v>643</v>
      </c>
      <c r="D162">
        <f>IF(settings!$G$4=0,'Student Enrollment Data'!AX163,'Student Enrollment Data'!CK163)</f>
        <v>197</v>
      </c>
      <c r="E162">
        <f>IF(settings!$G$4=0,'Student Enrollment Data'!AY163,'Student Enrollment Data'!CL163)</f>
        <v>197</v>
      </c>
      <c r="F162">
        <f>IF(settings!$G$4=0,'Student Enrollment Data'!AZ163,'Student Enrollment Data'!CM163)</f>
        <v>0</v>
      </c>
      <c r="G162" s="31">
        <f>'Student Enrollment Data'!BK163</f>
        <v>24.44040620033423</v>
      </c>
      <c r="H162" s="30">
        <f>'Student Enrollment Data'!BF163</f>
        <v>97.6</v>
      </c>
      <c r="I162">
        <f>SUM('Student Enrollment Data'!R163:X163,'Student Enrollment Data'!AQ163:AW163)</f>
        <v>0</v>
      </c>
      <c r="J162" s="30">
        <f>'Student Enrollment Data'!BS163</f>
        <v>17.693733863650401</v>
      </c>
      <c r="K162">
        <f t="shared" si="26"/>
        <v>19.700000000000003</v>
      </c>
      <c r="L162" s="28"/>
      <c r="M162" s="30">
        <f t="shared" si="27"/>
        <v>197</v>
      </c>
      <c r="N162" s="30">
        <f>E162*'Front page'!$B$20</f>
        <v>19.700000000000003</v>
      </c>
      <c r="O162" s="30">
        <f>F162*'Front page'!$B$21</f>
        <v>0</v>
      </c>
      <c r="P162">
        <f>G162*'Front page'!$B$18</f>
        <v>15.88626403021725</v>
      </c>
      <c r="Q162" s="30">
        <f>IF(settings!$B$4=0,Calculations!H162,Calculations!I162) *'Front page'!$B$11</f>
        <v>9.76</v>
      </c>
      <c r="R162" s="31">
        <f>ROUND(I162*'Front page'!$B$9,2)</f>
        <v>0</v>
      </c>
      <c r="S162" s="30">
        <f>J162*'Front page'!$B$14</f>
        <v>1.7693733863650403</v>
      </c>
      <c r="T162" s="103">
        <f>'Front page'!$B$16*Calculations!K162</f>
        <v>0.39400000000000007</v>
      </c>
      <c r="U162" s="103">
        <f>IF(settings!$B$13=0,(Calculations!M162*'District Wealth Adjustment'!M161)-Calculations!M162,0)</f>
        <v>0</v>
      </c>
      <c r="V162" s="185">
        <f>VLOOKUP(B162,'Remote School Building Weight'!$M$2:$P$174,3,FALSE)</f>
        <v>0</v>
      </c>
      <c r="W162" s="25">
        <f>'Small Dist Weight'!V161-Calculations!D162</f>
        <v>41.683409090909095</v>
      </c>
      <c r="X162" s="25">
        <f>IF(settings!$P$9=0,'Large District Weight'!H166*'Large District Weight'!G166,0)</f>
        <v>0</v>
      </c>
      <c r="Y162" s="25">
        <f t="shared" si="22"/>
        <v>286.19304650749137</v>
      </c>
      <c r="Z162" s="25">
        <f>IF(settings!$F$13=0,'Teacher Exp'!L162,0)</f>
        <v>0</v>
      </c>
      <c r="AA162" s="25">
        <f t="shared" si="23"/>
        <v>286.19304650749137</v>
      </c>
      <c r="AB162" s="28"/>
      <c r="AC162" s="26">
        <f>'Student Enrollment Data'!BU163</f>
        <v>0</v>
      </c>
      <c r="AD162" s="26">
        <f t="shared" si="28"/>
        <v>19.700000000000003</v>
      </c>
      <c r="AE162" s="26">
        <f>AD162*'Front page'!$B$16</f>
        <v>0.39400000000000007</v>
      </c>
      <c r="AG162" s="6">
        <f>M162*'Front page'!$E$3</f>
        <v>834647.91959521035</v>
      </c>
      <c r="AH162" s="6">
        <f>N162*'Front page'!$E$3</f>
        <v>83464.791959521041</v>
      </c>
      <c r="AI162" s="6">
        <f>O162*'Front page'!$E$3</f>
        <v>0</v>
      </c>
      <c r="AJ162" s="6">
        <f>P162*'Front page'!$E$3</f>
        <v>67306.787933812433</v>
      </c>
      <c r="AK162" s="6">
        <f>Q162*'Front page'!$E$3</f>
        <v>41351.084747458131</v>
      </c>
      <c r="AL162" s="6">
        <f>S162*'Front page'!$E$3</f>
        <v>7496.4660706432132</v>
      </c>
      <c r="AM162" s="5">
        <f>Z162*'Front page'!$E$3</f>
        <v>0</v>
      </c>
      <c r="AN162" s="6">
        <f>T162*'Front page'!$E$3</f>
        <v>1669.295839190421</v>
      </c>
      <c r="AO162" s="6">
        <f>U162*'Front page'!$E$3</f>
        <v>0</v>
      </c>
      <c r="AP162" s="6">
        <f>W162*'Front page'!$E$3</f>
        <v>176603.91207798655</v>
      </c>
      <c r="AQ162" s="6">
        <f>V162*'Front page'!$E$3</f>
        <v>0</v>
      </c>
      <c r="AR162" s="6">
        <f>X162*'Front page'!$E$3</f>
        <v>0</v>
      </c>
      <c r="AS162" s="6">
        <f t="shared" si="29"/>
        <v>1212540.2582238221</v>
      </c>
      <c r="AT162" s="7">
        <f>IF(AS162&gt;'Funding Comparison'!D167*(1+'Front page'!$H$10),'Funding Comparison'!D167*(1+'Front page'!$H$10),AS162)</f>
        <v>1212540.2582238221</v>
      </c>
    </row>
    <row r="163" spans="1:46" s="30" customFormat="1">
      <c r="A163" s="30">
        <v>511</v>
      </c>
      <c r="B163" s="30">
        <f t="shared" si="20"/>
        <v>511</v>
      </c>
      <c r="C163" s="30" t="s">
        <v>644</v>
      </c>
      <c r="D163">
        <f>IF(settings!$G$4=0,'Student Enrollment Data'!AX164,'Student Enrollment Data'!CK164)</f>
        <v>248.5</v>
      </c>
      <c r="E163">
        <f>IF(settings!$G$4=0,'Student Enrollment Data'!AY164,'Student Enrollment Data'!CL164)</f>
        <v>177.5</v>
      </c>
      <c r="F163">
        <f>IF(settings!$G$4=0,'Student Enrollment Data'!AZ164,'Student Enrollment Data'!CM164)</f>
        <v>0</v>
      </c>
      <c r="G163" s="31">
        <f>'Student Enrollment Data'!BK164</f>
        <v>30.829649445599269</v>
      </c>
      <c r="H163" s="30">
        <f>'Student Enrollment Data'!BF164</f>
        <v>118.67</v>
      </c>
      <c r="I163">
        <f>SUM('Student Enrollment Data'!R164:X164,'Student Enrollment Data'!AQ164:AW164)</f>
        <v>0</v>
      </c>
      <c r="J163" s="30">
        <f>'Student Enrollment Data'!BS164</f>
        <v>22.319253122421955</v>
      </c>
      <c r="K163">
        <f t="shared" si="26"/>
        <v>24.85</v>
      </c>
      <c r="L163" s="28"/>
      <c r="M163" s="30">
        <f t="shared" si="27"/>
        <v>248.5</v>
      </c>
      <c r="N163" s="30">
        <f>E163*'Front page'!$B$20</f>
        <v>17.75</v>
      </c>
      <c r="O163" s="30">
        <f>F163*'Front page'!$B$21</f>
        <v>0</v>
      </c>
      <c r="P163">
        <f>G163*'Front page'!$B$18</f>
        <v>20.039272139639525</v>
      </c>
      <c r="Q163" s="30">
        <f>IF(settings!$B$4=0,Calculations!H163,Calculations!I163) *'Front page'!$B$11</f>
        <v>11.867000000000001</v>
      </c>
      <c r="R163" s="31">
        <f>ROUND(I163*'Front page'!$B$9,2)</f>
        <v>0</v>
      </c>
      <c r="S163" s="30">
        <f>J163*'Front page'!$B$14</f>
        <v>2.2319253122421956</v>
      </c>
      <c r="T163" s="103">
        <f>'Front page'!$B$16*Calculations!K163</f>
        <v>0.49700000000000005</v>
      </c>
      <c r="U163" s="103">
        <f>IF(settings!$B$13=0,(Calculations!M163*'District Wealth Adjustment'!M162)-Calculations!M163,0)</f>
        <v>0</v>
      </c>
      <c r="V163" s="185">
        <f>VLOOKUP(B163,'Remote School Building Weight'!$M$2:$P$174,3,FALSE)</f>
        <v>0</v>
      </c>
      <c r="W163" s="25">
        <f>'Small Dist Weight'!V162-Calculations!D163</f>
        <v>32.220284090909161</v>
      </c>
      <c r="X163" s="25">
        <f>IF(settings!$P$9=0,'Large District Weight'!H167*'Large District Weight'!G167,0)</f>
        <v>0</v>
      </c>
      <c r="Y163" s="25">
        <f t="shared" si="22"/>
        <v>333.10548154279093</v>
      </c>
      <c r="Z163" s="25">
        <f>IF(settings!$F$13=0,'Teacher Exp'!L163,0)</f>
        <v>0</v>
      </c>
      <c r="AA163" s="25">
        <f t="shared" si="23"/>
        <v>333.10548154279093</v>
      </c>
      <c r="AB163" s="28"/>
      <c r="AC163" s="26">
        <f>'Student Enrollment Data'!BU164</f>
        <v>0</v>
      </c>
      <c r="AD163" s="26">
        <f t="shared" si="28"/>
        <v>24.85</v>
      </c>
      <c r="AE163" s="26">
        <f>AD163*'Front page'!$B$16</f>
        <v>0.49700000000000005</v>
      </c>
      <c r="AG163" s="6">
        <f>M163*'Front page'!$E$3</f>
        <v>1052842.6803015724</v>
      </c>
      <c r="AH163" s="6">
        <f>N163*'Front page'!$E$3</f>
        <v>75203.048592969455</v>
      </c>
      <c r="AI163" s="6">
        <f>O163*'Front page'!$E$3</f>
        <v>0</v>
      </c>
      <c r="AJ163" s="6">
        <f>P163*'Front page'!$E$3</f>
        <v>84902.217266763386</v>
      </c>
      <c r="AK163" s="6">
        <f>Q163*'Front page'!$E$3</f>
        <v>50278.004374803866</v>
      </c>
      <c r="AL163" s="6">
        <f>S163*'Front page'!$E$3</f>
        <v>9456.2021246438508</v>
      </c>
      <c r="AM163" s="5">
        <f>Z163*'Front page'!$E$3</f>
        <v>0</v>
      </c>
      <c r="AN163" s="6">
        <f>T163*'Front page'!$E$3</f>
        <v>2105.685360603145</v>
      </c>
      <c r="AO163" s="6">
        <f>U163*'Front page'!$E$3</f>
        <v>0</v>
      </c>
      <c r="AP163" s="6">
        <f>W163*'Front page'!$E$3</f>
        <v>136510.62479819282</v>
      </c>
      <c r="AQ163" s="6">
        <f>V163*'Front page'!$E$3</f>
        <v>0</v>
      </c>
      <c r="AR163" s="6">
        <f>X163*'Front page'!$E$3</f>
        <v>0</v>
      </c>
      <c r="AS163" s="6">
        <f t="shared" si="29"/>
        <v>1411298.462819549</v>
      </c>
      <c r="AT163" s="7">
        <f>IF(AS163&gt;'Funding Comparison'!D168*(1+'Front page'!$H$10),'Funding Comparison'!D168*(1+'Front page'!$H$10),AS163)</f>
        <v>1411298.462819549</v>
      </c>
    </row>
    <row r="164" spans="1:46" s="30" customFormat="1">
      <c r="A164" s="30">
        <v>513</v>
      </c>
      <c r="B164" s="30">
        <f t="shared" si="20"/>
        <v>513</v>
      </c>
      <c r="C164" s="30" t="s">
        <v>645</v>
      </c>
      <c r="D164">
        <f>IF(settings!$G$4=0,'Student Enrollment Data'!AX165,'Student Enrollment Data'!CK165)</f>
        <v>241.5</v>
      </c>
      <c r="E164">
        <f>IF(settings!$G$4=0,'Student Enrollment Data'!AY165,'Student Enrollment Data'!CL165)</f>
        <v>96.5</v>
      </c>
      <c r="F164">
        <f>IF(settings!$G$4=0,'Student Enrollment Data'!AZ165,'Student Enrollment Data'!CM165)</f>
        <v>23</v>
      </c>
      <c r="G164" s="31">
        <f>'Student Enrollment Data'!BK165</f>
        <v>29.961208616145768</v>
      </c>
      <c r="H164" s="30">
        <f>'Student Enrollment Data'!BF165</f>
        <v>65</v>
      </c>
      <c r="I164">
        <f>SUM('Student Enrollment Data'!R165:X165,'Student Enrollment Data'!AQ165:AW165)</f>
        <v>0</v>
      </c>
      <c r="J164" s="30">
        <f>'Student Enrollment Data'!BS165</f>
        <v>21.690541766860772</v>
      </c>
      <c r="K164">
        <f t="shared" si="26"/>
        <v>24.150000000000002</v>
      </c>
      <c r="L164" s="28"/>
      <c r="M164" s="30">
        <f t="shared" si="27"/>
        <v>241.5</v>
      </c>
      <c r="N164" s="30">
        <f>E164*'Front page'!$B$20</f>
        <v>9.65</v>
      </c>
      <c r="O164" s="30">
        <f>F164*'Front page'!$B$21</f>
        <v>2.3000000000000003</v>
      </c>
      <c r="P164">
        <f>G164*'Front page'!$B$18</f>
        <v>19.474785600494751</v>
      </c>
      <c r="Q164" s="30">
        <f>IF(settings!$B$4=0,Calculations!H164,Calculations!I164) *'Front page'!$B$11</f>
        <v>6.5</v>
      </c>
      <c r="R164" s="31">
        <f>ROUND(I164*'Front page'!$B$9,2)</f>
        <v>0</v>
      </c>
      <c r="S164" s="30">
        <f>J164*'Front page'!$B$14</f>
        <v>2.1690541766860774</v>
      </c>
      <c r="T164" s="103">
        <f>'Front page'!$B$16*Calculations!K164</f>
        <v>0.48300000000000004</v>
      </c>
      <c r="U164" s="103">
        <f>IF(settings!$B$13=0,(Calculations!M164*'District Wealth Adjustment'!M163)-Calculations!M164,0)</f>
        <v>0</v>
      </c>
      <c r="V164" s="185">
        <f>VLOOKUP(B164,'Remote School Building Weight'!$M$2:$P$174,3,FALSE)</f>
        <v>0</v>
      </c>
      <c r="W164" s="25">
        <f>'Small Dist Weight'!V163-Calculations!D164</f>
        <v>91.119304467084703</v>
      </c>
      <c r="X164" s="25">
        <f>IF(settings!$P$9=0,'Large District Weight'!H168*'Large District Weight'!G168,0)</f>
        <v>0</v>
      </c>
      <c r="Y164" s="25">
        <f t="shared" si="22"/>
        <v>373.19614424426555</v>
      </c>
      <c r="Z164" s="25">
        <f>IF(settings!$F$13=0,'Teacher Exp'!L164,0)</f>
        <v>0</v>
      </c>
      <c r="AA164" s="25">
        <f t="shared" si="23"/>
        <v>373.19614424426555</v>
      </c>
      <c r="AB164" s="28"/>
      <c r="AC164" s="26">
        <f>'Student Enrollment Data'!BU165</f>
        <v>0</v>
      </c>
      <c r="AD164" s="26">
        <f t="shared" si="28"/>
        <v>24.150000000000002</v>
      </c>
      <c r="AE164" s="26">
        <f>AD164*'Front page'!$B$16</f>
        <v>0.48300000000000004</v>
      </c>
      <c r="AG164" s="6">
        <f>M164*'Front page'!$E$3</f>
        <v>1023185.1400113873</v>
      </c>
      <c r="AH164" s="6">
        <f>N164*'Front page'!$E$3</f>
        <v>40885.037685755226</v>
      </c>
      <c r="AI164" s="6">
        <f>O164*'Front page'!$E$3</f>
        <v>9744.6203810608313</v>
      </c>
      <c r="AJ164" s="6">
        <f>P164*'Front page'!$E$3</f>
        <v>82510.605512770067</v>
      </c>
      <c r="AK164" s="6">
        <f>Q164*'Front page'!$E$3</f>
        <v>27539.144555171915</v>
      </c>
      <c r="AL164" s="6">
        <f>S164*'Front page'!$E$3</f>
        <v>9189.8302338088124</v>
      </c>
      <c r="AM164" s="5">
        <f>Z164*'Front page'!$E$3</f>
        <v>0</v>
      </c>
      <c r="AN164" s="6">
        <f>T164*'Front page'!$E$3</f>
        <v>2046.3702800227748</v>
      </c>
      <c r="AO164" s="6">
        <f>U164*'Front page'!$E$3</f>
        <v>0</v>
      </c>
      <c r="AP164" s="6">
        <f>W164*'Front page'!$E$3</f>
        <v>386053.49192088732</v>
      </c>
      <c r="AQ164" s="6">
        <f>V164*'Front page'!$E$3</f>
        <v>0</v>
      </c>
      <c r="AR164" s="6">
        <f>X164*'Front page'!$E$3</f>
        <v>0</v>
      </c>
      <c r="AS164" s="6">
        <f t="shared" si="29"/>
        <v>1581154.2405808643</v>
      </c>
      <c r="AT164" s="7">
        <f>IF(AS164&gt;'Funding Comparison'!D169*(1+'Front page'!$H$10),'Funding Comparison'!D169*(1+'Front page'!$H$10),AS164)</f>
        <v>1581154.2405808643</v>
      </c>
    </row>
    <row r="165" spans="1:46" s="30" customFormat="1">
      <c r="A165" s="30">
        <v>518</v>
      </c>
      <c r="B165" s="30">
        <f t="shared" si="20"/>
        <v>518</v>
      </c>
      <c r="C165" s="227" t="s">
        <v>635</v>
      </c>
      <c r="D165">
        <f>IF(settings!$G$4=0,'Student Enrollment Data'!AX166,'Student Enrollment Data'!CK166)</f>
        <v>202</v>
      </c>
      <c r="E165">
        <f>IF(settings!$G$4=0,'Student Enrollment Data'!AY166,'Student Enrollment Data'!CL166)</f>
        <v>0</v>
      </c>
      <c r="F165">
        <f>IF(settings!$G$4=0,'Student Enrollment Data'!AZ166,'Student Enrollment Data'!CM166)</f>
        <v>202</v>
      </c>
      <c r="G165" s="31">
        <f>'Student Enrollment Data'!BK166</f>
        <v>25.0607210785153</v>
      </c>
      <c r="H165" s="30">
        <f>'Student Enrollment Data'!BF166</f>
        <v>86.85</v>
      </c>
      <c r="I165">
        <f>SUM('Student Enrollment Data'!R166:X166,'Student Enrollment Data'!AQ166:AW166)</f>
        <v>0</v>
      </c>
      <c r="J165" s="30">
        <f>'Student Enrollment Data'!BS166</f>
        <v>18.142813403336962</v>
      </c>
      <c r="K165">
        <f t="shared" si="26"/>
        <v>20.200000000000003</v>
      </c>
      <c r="L165" s="28"/>
      <c r="M165" s="30">
        <f t="shared" si="27"/>
        <v>202</v>
      </c>
      <c r="N165" s="30">
        <f>E165*'Front page'!$B$20</f>
        <v>0</v>
      </c>
      <c r="O165" s="30">
        <f>F165*'Front page'!$B$21</f>
        <v>20.200000000000003</v>
      </c>
      <c r="P165">
        <f>G165*'Front page'!$B$18</f>
        <v>16.289468701034945</v>
      </c>
      <c r="Q165" s="30">
        <f>IF(settings!$B$4=0,Calculations!H165,Calculations!I165) *'Front page'!$B$11</f>
        <v>8.6850000000000005</v>
      </c>
      <c r="R165" s="31">
        <f>ROUND(I165*'Front page'!$B$9,2)</f>
        <v>0</v>
      </c>
      <c r="S165" s="30">
        <f>J165*'Front page'!$B$14</f>
        <v>1.8142813403336964</v>
      </c>
      <c r="T165" s="103">
        <f>'Front page'!$B$16*Calculations!K165</f>
        <v>0.40400000000000008</v>
      </c>
      <c r="U165" s="103">
        <f>IF(settings!$B$13=0,(Calculations!M165*'District Wealth Adjustment'!M164)-Calculations!M165,0)</f>
        <v>0</v>
      </c>
      <c r="V165" s="185">
        <f>VLOOKUP(B165,'Remote School Building Weight'!$M$2:$P$174,3,FALSE)</f>
        <v>0</v>
      </c>
      <c r="W165" s="25">
        <f>'Small Dist Weight'!V164-Calculations!D165</f>
        <v>138.2306896551724</v>
      </c>
      <c r="X165" s="25">
        <f>IF(settings!$P$9=0,'Large District Weight'!H169*'Large District Weight'!G169,0)</f>
        <v>0</v>
      </c>
      <c r="Y165" s="25">
        <f t="shared" si="22"/>
        <v>387.62343969654103</v>
      </c>
      <c r="Z165" s="25">
        <f>IF(settings!$F$13=0,'Teacher Exp'!L165,0)</f>
        <v>0</v>
      </c>
      <c r="AA165" s="25">
        <f t="shared" si="23"/>
        <v>387.62343969654103</v>
      </c>
      <c r="AB165" s="28"/>
      <c r="AC165" s="26">
        <f>'Student Enrollment Data'!BU166</f>
        <v>0</v>
      </c>
      <c r="AD165" s="26">
        <f t="shared" si="28"/>
        <v>20.200000000000003</v>
      </c>
      <c r="AE165" s="26">
        <f>AD165*'Front page'!$B$16</f>
        <v>0.40400000000000008</v>
      </c>
      <c r="AG165" s="6">
        <f>M165*'Front page'!$E$3</f>
        <v>855831.87694534252</v>
      </c>
      <c r="AH165" s="6">
        <f>N165*'Front page'!$E$3</f>
        <v>0</v>
      </c>
      <c r="AI165" s="6">
        <f>O165*'Front page'!$E$3</f>
        <v>85583.187694534266</v>
      </c>
      <c r="AJ165" s="6">
        <f>P165*'Front page'!$E$3</f>
        <v>69015.082043807663</v>
      </c>
      <c r="AK165" s="6">
        <f>Q165*'Front page'!$E$3</f>
        <v>36796.533917179702</v>
      </c>
      <c r="AL165" s="6">
        <f>S165*'Front page'!$E$3</f>
        <v>7686.7317069539558</v>
      </c>
      <c r="AM165" s="5">
        <f>Z165*'Front page'!$E$3</f>
        <v>0</v>
      </c>
      <c r="AN165" s="6">
        <f>T165*'Front page'!$E$3</f>
        <v>1711.6637538906855</v>
      </c>
      <c r="AO165" s="6">
        <f>U165*'Front page'!$E$3</f>
        <v>0</v>
      </c>
      <c r="AP165" s="6">
        <f>W165*'Front page'!$E$3</f>
        <v>585654.60682690761</v>
      </c>
      <c r="AQ165" s="6">
        <f>V165*'Front page'!$E$3</f>
        <v>0</v>
      </c>
      <c r="AR165" s="6">
        <f>X165*'Front page'!$E$3</f>
        <v>0</v>
      </c>
      <c r="AS165" s="6">
        <f t="shared" si="29"/>
        <v>1642279.6828886163</v>
      </c>
      <c r="AT165" s="7">
        <f>IF(AS165&gt;'Funding Comparison'!D170*(1+'Front page'!$H$10),'Funding Comparison'!D170*(1+'Front page'!$H$10),AS165)</f>
        <v>1642279.6828886163</v>
      </c>
    </row>
    <row r="166" spans="1:46" s="30" customFormat="1">
      <c r="A166" s="30" t="str">
        <f t="shared" si="18"/>
        <v>555</v>
      </c>
      <c r="B166" s="30">
        <f t="shared" si="20"/>
        <v>555</v>
      </c>
      <c r="C166" s="16" t="s">
        <v>170</v>
      </c>
      <c r="D166">
        <f>IF(settings!$G$4=0,'Student Enrollment Data'!AX167,'Student Enrollment Data'!CK167)</f>
        <v>127</v>
      </c>
      <c r="E166">
        <f>IF(settings!$G$4=0,'Student Enrollment Data'!AY167,'Student Enrollment Data'!CL167)</f>
        <v>0</v>
      </c>
      <c r="F166">
        <f>IF(settings!$G$4=0,'Student Enrollment Data'!AZ167,'Student Enrollment Data'!CM167)</f>
        <v>116</v>
      </c>
      <c r="G166" s="31">
        <f>'Student Enrollment Data'!BK167</f>
        <v>27</v>
      </c>
      <c r="H166" s="30">
        <f>'Student Enrollment Data'!BF167</f>
        <v>54.61</v>
      </c>
      <c r="I166">
        <f>SUM('Student Enrollment Data'!R167:X167,'Student Enrollment Data'!AQ167:AW167)</f>
        <v>139.57447200616849</v>
      </c>
      <c r="J166" s="30">
        <f>'Student Enrollment Data'!BS167</f>
        <v>0</v>
      </c>
      <c r="K166">
        <f t="shared" si="21"/>
        <v>12.700000000000001</v>
      </c>
      <c r="L166" s="28"/>
      <c r="M166" s="30">
        <f t="shared" si="19"/>
        <v>127</v>
      </c>
      <c r="N166" s="30">
        <f>E166*'Front page'!$B$20</f>
        <v>0</v>
      </c>
      <c r="O166" s="30">
        <f>F166*'Front page'!$B$21</f>
        <v>11.600000000000001</v>
      </c>
      <c r="P166">
        <f>G166*'Front page'!$B$18</f>
        <v>17.55</v>
      </c>
      <c r="Q166" s="30">
        <f>IF(settings!$B$4=0,Calculations!H166,Calculations!I166) *'Front page'!$B$11</f>
        <v>5.4610000000000003</v>
      </c>
      <c r="R166" s="31">
        <f>ROUND(I166*'Front page'!$B$9,2)</f>
        <v>0</v>
      </c>
      <c r="S166" s="30">
        <f>J166*'Front page'!$B$14</f>
        <v>0</v>
      </c>
      <c r="T166" s="103">
        <f>'Front page'!$B$16*Calculations!K166</f>
        <v>0.254</v>
      </c>
      <c r="U166" s="103">
        <f>IF(settings!$B$13=0,(Calculations!M166*'District Wealth Adjustment'!M160)-Calculations!M166,0)</f>
        <v>0</v>
      </c>
      <c r="V166" s="185">
        <f>VLOOKUP(B166,'Remote School Building Weight'!$M$2:$P$174,3,FALSE)</f>
        <v>0</v>
      </c>
      <c r="W166" s="25">
        <f>'Small Dist Weight'!V165-Calculations!D166</f>
        <v>104.15094827586208</v>
      </c>
      <c r="X166" s="25">
        <f>IF(settings!$P$9=0,'Large District Weight'!H165*'Large District Weight'!G165,0)</f>
        <v>0</v>
      </c>
      <c r="Y166" s="25">
        <f t="shared" si="22"/>
        <v>266.01594827586212</v>
      </c>
      <c r="Z166" s="25">
        <f>IF(settings!$F$13=0,'Teacher Exp'!L166,0)</f>
        <v>0</v>
      </c>
      <c r="AA166" s="25">
        <f t="shared" si="23"/>
        <v>266.01594827586212</v>
      </c>
      <c r="AB166" s="28"/>
      <c r="AC166" s="26">
        <f>'Student Enrollment Data'!BU167</f>
        <v>0</v>
      </c>
      <c r="AD166" s="26">
        <f t="shared" si="24"/>
        <v>12.700000000000001</v>
      </c>
      <c r="AE166" s="26">
        <f>AD166*'Front page'!$B$16</f>
        <v>0.254</v>
      </c>
      <c r="AG166" s="6">
        <f>M166*'Front page'!$E$3</f>
        <v>538072.51669335889</v>
      </c>
      <c r="AH166" s="6">
        <f>N166*'Front page'!$E$3</f>
        <v>0</v>
      </c>
      <c r="AI166" s="6">
        <f>O166*'Front page'!$E$3</f>
        <v>49146.781052306804</v>
      </c>
      <c r="AJ166" s="6">
        <f>P166*'Front page'!$E$3</f>
        <v>74355.690298964168</v>
      </c>
      <c r="AK166" s="6">
        <f>Q166*'Front page'!$E$3</f>
        <v>23137.118217814434</v>
      </c>
      <c r="AL166" s="6">
        <f>S166*'Front page'!$E$3</f>
        <v>0</v>
      </c>
      <c r="AM166" s="5">
        <f>Z166*'Front page'!$E$3</f>
        <v>0</v>
      </c>
      <c r="AN166" s="6">
        <f>T166*'Front page'!$E$3</f>
        <v>1076.1450333867178</v>
      </c>
      <c r="AO166" s="6">
        <f>U166*'Front page'!$E$3</f>
        <v>0</v>
      </c>
      <c r="AP166" s="6">
        <f>W166*'Front page'!$E$3</f>
        <v>441265.84925033827</v>
      </c>
      <c r="AQ166" s="6">
        <f>V166*'Front page'!$E$3</f>
        <v>0</v>
      </c>
      <c r="AR166" s="6">
        <f>X166*'Front page'!$E$3</f>
        <v>0</v>
      </c>
      <c r="AS166" s="6">
        <f t="shared" si="25"/>
        <v>1127054.1005461693</v>
      </c>
      <c r="AT166" s="7">
        <f>IF(AS166&gt;'Funding Comparison'!D166*(1+'Front page'!$H$10),'Funding Comparison'!D166*(1+'Front page'!$H$10),AS166)</f>
        <v>1106249.9919999999</v>
      </c>
    </row>
    <row r="167" spans="1:46" s="30" customFormat="1">
      <c r="A167" s="30" t="str">
        <f t="shared" si="18"/>
        <v>559</v>
      </c>
      <c r="B167" s="30">
        <f>A167*1</f>
        <v>559</v>
      </c>
      <c r="C167" s="16" t="s">
        <v>171</v>
      </c>
      <c r="D167">
        <f>IF(settings!$G$4=0,'Student Enrollment Data'!AX168,'Student Enrollment Data'!CK168)</f>
        <v>370</v>
      </c>
      <c r="E167">
        <f>IF(settings!$G$4=0,'Student Enrollment Data'!AY168,'Student Enrollment Data'!CL168)</f>
        <v>97</v>
      </c>
      <c r="F167">
        <f>IF(settings!$G$4=0,'Student Enrollment Data'!AZ168,'Student Enrollment Data'!CM168)</f>
        <v>112</v>
      </c>
      <c r="G167" s="31">
        <f>'Student Enrollment Data'!BK168</f>
        <v>12</v>
      </c>
      <c r="H167" s="30">
        <f>'Student Enrollment Data'!BF168</f>
        <v>164.68</v>
      </c>
      <c r="I167">
        <f>SUM('Student Enrollment Data'!R168:X168,'Student Enrollment Data'!AQ168:AW168)</f>
        <v>0</v>
      </c>
      <c r="J167" s="30">
        <f>'Student Enrollment Data'!BS168</f>
        <v>31.402154121832407</v>
      </c>
      <c r="K167">
        <f t="shared" si="21"/>
        <v>37</v>
      </c>
      <c r="L167" s="28"/>
      <c r="M167" s="30">
        <f t="shared" si="19"/>
        <v>370</v>
      </c>
      <c r="N167" s="30">
        <f>E167*'Front page'!$B$20</f>
        <v>9.7000000000000011</v>
      </c>
      <c r="O167" s="30">
        <f>F167*'Front page'!$B$21</f>
        <v>11.200000000000001</v>
      </c>
      <c r="P167">
        <f>G167*'Front page'!$B$18</f>
        <v>7.8000000000000007</v>
      </c>
      <c r="Q167" s="30">
        <f>IF(settings!$B$4=0,Calculations!H167,Calculations!I167) *'Front page'!$B$11</f>
        <v>16.468</v>
      </c>
      <c r="R167" s="31">
        <f>ROUND(I167*'Front page'!$B$9,2)</f>
        <v>0</v>
      </c>
      <c r="S167" s="30">
        <f>J167*'Front page'!$B$14</f>
        <v>3.1402154121832409</v>
      </c>
      <c r="T167" s="103">
        <f>'Front page'!$B$16*Calculations!K167</f>
        <v>0.74</v>
      </c>
      <c r="U167" s="103">
        <f>IF(settings!$B$13=0,(Calculations!M167*'District Wealth Adjustment'!M161)-Calculations!M167,0)</f>
        <v>0</v>
      </c>
      <c r="V167" s="185">
        <f>VLOOKUP(B167,'Remote School Building Weight'!$M$2:$P$174,3,FALSE)</f>
        <v>0</v>
      </c>
      <c r="W167" s="25">
        <f>'Small Dist Weight'!V166-Calculations!D167</f>
        <v>171.19893416927903</v>
      </c>
      <c r="X167" s="25">
        <f>IF(settings!$P$9=0,'Large District Weight'!H166*'Large District Weight'!G166,0)</f>
        <v>0</v>
      </c>
      <c r="Y167" s="25">
        <f t="shared" si="22"/>
        <v>590.24714958146228</v>
      </c>
      <c r="Z167" s="25">
        <f>IF(settings!$F$13=0,'Teacher Exp'!L167,0)</f>
        <v>29.512357479073117</v>
      </c>
      <c r="AA167" s="25">
        <f t="shared" si="23"/>
        <v>619.75950706053538</v>
      </c>
      <c r="AB167" s="28"/>
      <c r="AC167" s="26">
        <f>'Student Enrollment Data'!BU168</f>
        <v>0</v>
      </c>
      <c r="AD167" s="26">
        <f t="shared" si="24"/>
        <v>37</v>
      </c>
      <c r="AE167" s="26">
        <f>AD167*'Front page'!$B$16</f>
        <v>0.74</v>
      </c>
      <c r="AG167" s="6">
        <f>M167*'Front page'!$E$3</f>
        <v>1567612.8439097858</v>
      </c>
      <c r="AH167" s="6">
        <f>N167*'Front page'!$E$3</f>
        <v>41096.877259256551</v>
      </c>
      <c r="AI167" s="6">
        <f>O167*'Front page'!$E$3</f>
        <v>47452.064464296222</v>
      </c>
      <c r="AJ167" s="6">
        <f>P167*'Front page'!$E$3</f>
        <v>33046.973466206298</v>
      </c>
      <c r="AK167" s="6">
        <f>Q167*'Front page'!$E$3</f>
        <v>69771.481928395544</v>
      </c>
      <c r="AL167" s="6">
        <f>S167*'Front page'!$E$3</f>
        <v>13304.437872383542</v>
      </c>
      <c r="AM167" s="5">
        <f>Z167*'Front page'!$E$3</f>
        <v>125037.70442770823</v>
      </c>
      <c r="AN167" s="6">
        <f>T167*'Front page'!$E$3</f>
        <v>3135.2256878195717</v>
      </c>
      <c r="AO167" s="6">
        <f>U167*'Front page'!$E$3</f>
        <v>0</v>
      </c>
      <c r="AP167" s="6">
        <f>W167*'Front page'!$E$3</f>
        <v>725334.18396602082</v>
      </c>
      <c r="AQ167" s="6">
        <f>V167*'Front page'!$E$3</f>
        <v>0</v>
      </c>
      <c r="AR167" s="6">
        <f>X167*'Front page'!$E$3</f>
        <v>0</v>
      </c>
      <c r="AS167" s="6">
        <f t="shared" si="25"/>
        <v>2625791.7929818723</v>
      </c>
      <c r="AT167" s="7">
        <f>IF(AS167&gt;'Funding Comparison'!D167*(1+'Front page'!$H$10),'Funding Comparison'!D167*(1+'Front page'!$H$10),AS167)</f>
        <v>2625791.7929818723</v>
      </c>
    </row>
    <row r="168" spans="1:46" s="30" customFormat="1">
      <c r="A168" s="30" t="str">
        <f t="shared" si="18"/>
        <v>751</v>
      </c>
      <c r="B168" s="30">
        <f t="shared" ref="B168:B175" si="30">A168*1</f>
        <v>751</v>
      </c>
      <c r="C168" s="16" t="s">
        <v>172</v>
      </c>
      <c r="D168">
        <f>IF(settings!$G$4=0,'Student Enrollment Data'!AX169,'Student Enrollment Data'!CK169)</f>
        <v>199</v>
      </c>
      <c r="E168">
        <f>IF(settings!$G$4=0,'Student Enrollment Data'!AY169,'Student Enrollment Data'!CL169)</f>
        <v>0</v>
      </c>
      <c r="F168">
        <f>IF(settings!$G$4=0,'Student Enrollment Data'!AZ169,'Student Enrollment Data'!CM169)</f>
        <v>199</v>
      </c>
      <c r="G168" s="31">
        <f>'Student Enrollment Data'!BK169</f>
        <v>23.676757765099069</v>
      </c>
      <c r="H168" s="30">
        <f>'Student Enrollment Data'!BF169</f>
        <v>85.56</v>
      </c>
      <c r="I168">
        <f>SUM('Student Enrollment Data'!R169:X169,'Student Enrollment Data'!AQ169:AW169)</f>
        <v>0</v>
      </c>
      <c r="J168" s="30">
        <f>'Student Enrollment Data'!BS169</f>
        <v>0</v>
      </c>
      <c r="K168">
        <f t="shared" si="21"/>
        <v>19.900000000000002</v>
      </c>
      <c r="L168" s="28"/>
      <c r="M168" s="30">
        <f t="shared" ref="M168:M175" si="31">MAX(D168,30)</f>
        <v>199</v>
      </c>
      <c r="N168" s="30">
        <f>E168*'Front page'!$B$20</f>
        <v>0</v>
      </c>
      <c r="O168" s="30">
        <f>F168*'Front page'!$B$21</f>
        <v>19.900000000000002</v>
      </c>
      <c r="P168">
        <f>G168*'Front page'!$B$18</f>
        <v>15.389892547314394</v>
      </c>
      <c r="Q168" s="30">
        <f>IF(settings!$B$4=0,Calculations!H168,Calculations!I168) *'Front page'!$B$11</f>
        <v>8.5560000000000009</v>
      </c>
      <c r="R168" s="31">
        <f>ROUND(I168*'Front page'!$B$9,2)</f>
        <v>0</v>
      </c>
      <c r="S168" s="30">
        <f>J168*'Front page'!$B$14</f>
        <v>0</v>
      </c>
      <c r="T168" s="103">
        <f>'Front page'!$B$16*Calculations!K168</f>
        <v>0.39800000000000008</v>
      </c>
      <c r="U168" s="103">
        <f>IF(settings!$B$13=0,(Calculations!M168*'District Wealth Adjustment'!M162)-Calculations!M168,0)</f>
        <v>0</v>
      </c>
      <c r="V168" s="185">
        <f>VLOOKUP(B168,'Remote School Building Weight'!$M$2:$P$174,3,FALSE)</f>
        <v>0</v>
      </c>
      <c r="W168" s="25">
        <f>'Small Dist Weight'!V167-Calculations!D168</f>
        <v>137.25853448275865</v>
      </c>
      <c r="X168" s="25">
        <f>IF(settings!$P$9=0,'Large District Weight'!H167*'Large District Weight'!G167,0)</f>
        <v>0</v>
      </c>
      <c r="Y168" s="25">
        <f t="shared" si="22"/>
        <v>380.50242703007302</v>
      </c>
      <c r="Z168" s="25">
        <f>IF(settings!$F$13=0,'Teacher Exp'!L168,0)</f>
        <v>0</v>
      </c>
      <c r="AA168" s="25">
        <f t="shared" si="23"/>
        <v>380.50242703007302</v>
      </c>
      <c r="AB168" s="28"/>
      <c r="AC168" s="26">
        <f>'Student Enrollment Data'!BU169</f>
        <v>0</v>
      </c>
      <c r="AD168" s="26">
        <f t="shared" si="24"/>
        <v>19.900000000000002</v>
      </c>
      <c r="AE168" s="26">
        <f>AD168*'Front page'!$B$16</f>
        <v>0.39800000000000008</v>
      </c>
      <c r="AG168" s="6">
        <f>M168*'Front page'!$E$3</f>
        <v>843121.50253526319</v>
      </c>
      <c r="AH168" s="6">
        <f>N168*'Front page'!$E$3</f>
        <v>0</v>
      </c>
      <c r="AI168" s="6">
        <f>O168*'Front page'!$E$3</f>
        <v>84312.150253526328</v>
      </c>
      <c r="AJ168" s="6">
        <f>P168*'Front page'!$E$3</f>
        <v>65203.765469085236</v>
      </c>
      <c r="AK168" s="6">
        <f>Q168*'Front page'!$E$3</f>
        <v>36249.987817546295</v>
      </c>
      <c r="AL168" s="6">
        <f>S168*'Front page'!$E$3</f>
        <v>0</v>
      </c>
      <c r="AM168" s="5">
        <f>Z168*'Front page'!$E$3</f>
        <v>0</v>
      </c>
      <c r="AN168" s="6">
        <f>T168*'Front page'!$E$3</f>
        <v>1686.2430050705268</v>
      </c>
      <c r="AO168" s="6">
        <f>U168*'Front page'!$E$3</f>
        <v>0</v>
      </c>
      <c r="AP168" s="6">
        <f>W168*'Front page'!$E$3</f>
        <v>581535.78808488289</v>
      </c>
      <c r="AQ168" s="6">
        <f>V168*'Front page'!$E$3</f>
        <v>0</v>
      </c>
      <c r="AR168" s="6">
        <f>X168*'Front page'!$E$3</f>
        <v>0</v>
      </c>
      <c r="AS168" s="6">
        <f t="shared" si="25"/>
        <v>1612109.4371653744</v>
      </c>
      <c r="AT168" s="7">
        <f>IF(AS168&gt;'Funding Comparison'!D168*(1+'Front page'!$H$10),'Funding Comparison'!D168*(1+'Front page'!$H$10),AS168)</f>
        <v>1612109.4371653744</v>
      </c>
    </row>
    <row r="169" spans="1:46" s="30" customFormat="1">
      <c r="A169" s="30" t="str">
        <f t="shared" si="18"/>
        <v>768</v>
      </c>
      <c r="B169" s="30">
        <f t="shared" si="30"/>
        <v>768</v>
      </c>
      <c r="C169" s="16" t="s">
        <v>173</v>
      </c>
      <c r="D169">
        <f>IF(settings!$G$4=0,'Student Enrollment Data'!AX170,'Student Enrollment Data'!CK170)</f>
        <v>200</v>
      </c>
      <c r="E169">
        <f>IF(settings!$G$4=0,'Student Enrollment Data'!AY170,'Student Enrollment Data'!CL170)</f>
        <v>0</v>
      </c>
      <c r="F169">
        <f>IF(settings!$G$4=0,'Student Enrollment Data'!AZ170,'Student Enrollment Data'!CM170)</f>
        <v>200</v>
      </c>
      <c r="G169" s="31">
        <f>'Student Enrollment Data'!BK170</f>
        <v>3</v>
      </c>
      <c r="H169" s="30">
        <f>'Student Enrollment Data'!BF170</f>
        <v>85.99</v>
      </c>
      <c r="I169">
        <f>SUM('Student Enrollment Data'!R170:X170,'Student Enrollment Data'!AQ170:AW170)</f>
        <v>0</v>
      </c>
      <c r="J169" s="30">
        <f>'Student Enrollment Data'!BS170</f>
        <v>0</v>
      </c>
      <c r="K169">
        <f t="shared" si="21"/>
        <v>20</v>
      </c>
      <c r="L169" s="28"/>
      <c r="M169" s="30">
        <f t="shared" si="31"/>
        <v>200</v>
      </c>
      <c r="N169" s="30">
        <f>E169*'Front page'!$B$20</f>
        <v>0</v>
      </c>
      <c r="O169" s="30">
        <f>F169*'Front page'!$B$21</f>
        <v>20</v>
      </c>
      <c r="P169">
        <f>G169*'Front page'!$B$18</f>
        <v>1.9500000000000002</v>
      </c>
      <c r="Q169" s="30">
        <f>IF(settings!$B$4=0,Calculations!H169,Calculations!I169) *'Front page'!$B$11</f>
        <v>8.5990000000000002</v>
      </c>
      <c r="R169" s="31">
        <f>ROUND(I169*'Front page'!$B$9,2)</f>
        <v>0</v>
      </c>
      <c r="S169" s="30">
        <f>J169*'Front page'!$B$14</f>
        <v>0</v>
      </c>
      <c r="T169" s="103">
        <f>'Front page'!$B$16*Calculations!K169</f>
        <v>0.4</v>
      </c>
      <c r="U169" s="103">
        <f>IF(settings!$B$13=0,(Calculations!M169*'District Wealth Adjustment'!M163)-Calculations!M169,0)</f>
        <v>0</v>
      </c>
      <c r="V169" s="185">
        <f>VLOOKUP(B169,'Remote School Building Weight'!$M$2:$P$174,3,FALSE)</f>
        <v>0</v>
      </c>
      <c r="W169" s="25">
        <f>'Small Dist Weight'!V168-Calculations!D169</f>
        <v>137.58620689655174</v>
      </c>
      <c r="X169" s="25">
        <f>IF(settings!$P$9=0,'Large District Weight'!H168*'Large District Weight'!G168,0)</f>
        <v>0</v>
      </c>
      <c r="Y169" s="25">
        <f t="shared" si="22"/>
        <v>368.5352068965517</v>
      </c>
      <c r="Z169" s="25">
        <f>IF(settings!$F$13=0,'Teacher Exp'!L169,0)</f>
        <v>16.148518736361588</v>
      </c>
      <c r="AA169" s="25">
        <f t="shared" si="23"/>
        <v>384.68372563291331</v>
      </c>
      <c r="AB169" s="28"/>
      <c r="AC169" s="26">
        <f>'Student Enrollment Data'!BU170</f>
        <v>0</v>
      </c>
      <c r="AD169" s="26">
        <f t="shared" si="24"/>
        <v>20</v>
      </c>
      <c r="AE169" s="26">
        <f>AD169*'Front page'!$B$16</f>
        <v>0.4</v>
      </c>
      <c r="AG169" s="6">
        <f>M169*'Front page'!$E$3</f>
        <v>847358.29400528967</v>
      </c>
      <c r="AH169" s="6">
        <f>N169*'Front page'!$E$3</f>
        <v>0</v>
      </c>
      <c r="AI169" s="6">
        <f>O169*'Front page'!$E$3</f>
        <v>84735.829400528964</v>
      </c>
      <c r="AJ169" s="6">
        <f>P169*'Front page'!$E$3</f>
        <v>8261.7433665515746</v>
      </c>
      <c r="AK169" s="6">
        <f>Q169*'Front page'!$E$3</f>
        <v>36432.169850757426</v>
      </c>
      <c r="AL169" s="6">
        <f>S169*'Front page'!$E$3</f>
        <v>0</v>
      </c>
      <c r="AM169" s="5">
        <f>Z169*'Front page'!$E$3</f>
        <v>68417.906435779048</v>
      </c>
      <c r="AN169" s="6">
        <f>T169*'Front page'!$E$3</f>
        <v>1694.7165880105795</v>
      </c>
      <c r="AO169" s="6">
        <f>U169*'Front page'!$E$3</f>
        <v>0</v>
      </c>
      <c r="AP169" s="6">
        <f>W169*'Front page'!$E$3</f>
        <v>582924.06777260453</v>
      </c>
      <c r="AQ169" s="6">
        <f>V169*'Front page'!$E$3</f>
        <v>0</v>
      </c>
      <c r="AR169" s="6">
        <f>X169*'Front page'!$E$3</f>
        <v>0</v>
      </c>
      <c r="AS169" s="6">
        <f t="shared" si="25"/>
        <v>1629824.7274195217</v>
      </c>
      <c r="AT169" s="7">
        <f>IF(AS169&gt;'Funding Comparison'!D169*(1+'Front page'!$H$10),'Funding Comparison'!D169*(1+'Front page'!$H$10),AS169)</f>
        <v>1629824.7274195217</v>
      </c>
    </row>
    <row r="170" spans="1:46" s="30" customFormat="1">
      <c r="A170" s="30" t="str">
        <f t="shared" si="18"/>
        <v>785</v>
      </c>
      <c r="B170" s="30">
        <f t="shared" si="30"/>
        <v>785</v>
      </c>
      <c r="C170" s="16" t="s">
        <v>174</v>
      </c>
      <c r="D170">
        <f>IF(settings!$G$4=0,'Student Enrollment Data'!AX171,'Student Enrollment Data'!CK171)</f>
        <v>194</v>
      </c>
      <c r="E170">
        <f>IF(settings!$G$4=0,'Student Enrollment Data'!AY171,'Student Enrollment Data'!CL171)</f>
        <v>0</v>
      </c>
      <c r="F170">
        <f>IF(settings!$G$4=0,'Student Enrollment Data'!AZ171,'Student Enrollment Data'!CM171)</f>
        <v>194</v>
      </c>
      <c r="G170" s="31">
        <f>'Student Enrollment Data'!BK171</f>
        <v>3</v>
      </c>
      <c r="H170" s="30">
        <f>'Student Enrollment Data'!BF171</f>
        <v>83.41</v>
      </c>
      <c r="I170">
        <f>SUM('Student Enrollment Data'!R171:X171,'Student Enrollment Data'!AQ171:AW171)</f>
        <v>0</v>
      </c>
      <c r="J170" s="30">
        <f>'Student Enrollment Data'!BS171</f>
        <v>16.443882842441358</v>
      </c>
      <c r="K170">
        <f t="shared" si="21"/>
        <v>19.400000000000002</v>
      </c>
      <c r="L170" s="28"/>
      <c r="M170" s="30">
        <f t="shared" si="31"/>
        <v>194</v>
      </c>
      <c r="N170" s="30">
        <f>E170*'Front page'!$B$20</f>
        <v>0</v>
      </c>
      <c r="O170" s="30">
        <f>F170*'Front page'!$B$21</f>
        <v>19.400000000000002</v>
      </c>
      <c r="P170">
        <f>G170*'Front page'!$B$18</f>
        <v>1.9500000000000002</v>
      </c>
      <c r="Q170" s="30">
        <f>IF(settings!$B$4=0,Calculations!H170,Calculations!I170) *'Front page'!$B$11</f>
        <v>8.3409999999999993</v>
      </c>
      <c r="R170" s="31">
        <f>ROUND(I170*'Front page'!$B$9,2)</f>
        <v>0</v>
      </c>
      <c r="S170" s="30">
        <f>J170*'Front page'!$B$14</f>
        <v>1.644388284244136</v>
      </c>
      <c r="T170" s="103">
        <f>'Front page'!$B$16*Calculations!K170</f>
        <v>0.38800000000000007</v>
      </c>
      <c r="U170" s="103">
        <f>IF(settings!$B$13=0,(Calculations!M170*'District Wealth Adjustment'!M164)-Calculations!M170,0)</f>
        <v>0</v>
      </c>
      <c r="V170" s="185">
        <f>VLOOKUP(B170,'Remote School Building Weight'!$M$2:$P$174,3,FALSE)</f>
        <v>0</v>
      </c>
      <c r="W170" s="25">
        <f>'Small Dist Weight'!V169-Calculations!D170</f>
        <v>135.56586206896554</v>
      </c>
      <c r="X170" s="25">
        <f>IF(settings!$P$9=0,'Large District Weight'!H169*'Large District Weight'!G169,0)</f>
        <v>0</v>
      </c>
      <c r="Y170" s="25">
        <f t="shared" si="22"/>
        <v>361.2892503532097</v>
      </c>
      <c r="Z170" s="25">
        <f>IF(settings!$F$13=0,'Teacher Exp'!L170,0)</f>
        <v>12.59444355753134</v>
      </c>
      <c r="AA170" s="25">
        <f t="shared" si="23"/>
        <v>373.88369391074104</v>
      </c>
      <c r="AB170" s="28"/>
      <c r="AC170" s="26">
        <f>'Student Enrollment Data'!BU171</f>
        <v>12</v>
      </c>
      <c r="AD170" s="26">
        <f t="shared" si="24"/>
        <v>19.400000000000002</v>
      </c>
      <c r="AE170" s="26">
        <f>AD170*'Front page'!$B$16</f>
        <v>0.38800000000000007</v>
      </c>
      <c r="AG170" s="6">
        <f>M170*'Front page'!$E$3</f>
        <v>821937.5451851309</v>
      </c>
      <c r="AH170" s="6">
        <f>N170*'Front page'!$E$3</f>
        <v>0</v>
      </c>
      <c r="AI170" s="6">
        <f>O170*'Front page'!$E$3</f>
        <v>82193.754518513102</v>
      </c>
      <c r="AJ170" s="6">
        <f>P170*'Front page'!$E$3</f>
        <v>8261.7433665515746</v>
      </c>
      <c r="AK170" s="6">
        <f>Q170*'Front page'!$E$3</f>
        <v>35339.077651490603</v>
      </c>
      <c r="AL170" s="6">
        <f>S170*'Front page'!$E$3</f>
        <v>6966.9302560969818</v>
      </c>
      <c r="AM170" s="5">
        <f>Z170*'Front page'!$E$3</f>
        <v>53360.031034278334</v>
      </c>
      <c r="AN170" s="6">
        <f>T170*'Front page'!$E$3</f>
        <v>1643.8750903702621</v>
      </c>
      <c r="AO170" s="6">
        <f>U170*'Front page'!$E$3</f>
        <v>0</v>
      </c>
      <c r="AP170" s="6">
        <f>W170*'Front page'!$E$3</f>
        <v>574364.28804057522</v>
      </c>
      <c r="AQ170" s="6">
        <f>V170*'Front page'!$E$3</f>
        <v>0</v>
      </c>
      <c r="AR170" s="6">
        <f>X170*'Front page'!$E$3</f>
        <v>0</v>
      </c>
      <c r="AS170" s="6">
        <f t="shared" si="25"/>
        <v>1584067.245143007</v>
      </c>
      <c r="AT170" s="7">
        <f>IF(AS170&gt;'Funding Comparison'!D170*(1+'Front page'!$H$10),'Funding Comparison'!D170*(1+'Front page'!$H$10),AS170)</f>
        <v>1584067.245143007</v>
      </c>
    </row>
    <row r="171" spans="1:46" s="30" customFormat="1">
      <c r="A171" s="30" t="str">
        <f t="shared" si="18"/>
        <v>790</v>
      </c>
      <c r="B171" s="30">
        <f t="shared" si="30"/>
        <v>790</v>
      </c>
      <c r="C171" s="16" t="s">
        <v>175</v>
      </c>
      <c r="D171">
        <f>IF(settings!$G$4=0,'Student Enrollment Data'!AX172,'Student Enrollment Data'!CK172)</f>
        <v>200</v>
      </c>
      <c r="E171">
        <f>IF(settings!$G$4=0,'Student Enrollment Data'!AY172,'Student Enrollment Data'!CL172)</f>
        <v>0</v>
      </c>
      <c r="F171">
        <f>IF(settings!$G$4=0,'Student Enrollment Data'!AZ172,'Student Enrollment Data'!CM172)</f>
        <v>200</v>
      </c>
      <c r="G171" s="31">
        <f>'Student Enrollment Data'!BK172</f>
        <v>23.194324360873722</v>
      </c>
      <c r="H171" s="30">
        <f>'Student Enrollment Data'!BF172</f>
        <v>85.99</v>
      </c>
      <c r="I171">
        <f>SUM('Student Enrollment Data'!R172:X172,'Student Enrollment Data'!AQ172:AW172)</f>
        <v>0</v>
      </c>
      <c r="J171" s="30">
        <f>'Student Enrollment Data'!BS172</f>
        <v>0</v>
      </c>
      <c r="K171">
        <f t="shared" si="21"/>
        <v>20</v>
      </c>
      <c r="L171" s="28"/>
      <c r="M171" s="30">
        <f t="shared" si="31"/>
        <v>200</v>
      </c>
      <c r="N171" s="30">
        <f>E171*'Front page'!$B$20</f>
        <v>0</v>
      </c>
      <c r="O171" s="30">
        <f>F171*'Front page'!$B$21</f>
        <v>20</v>
      </c>
      <c r="P171">
        <f>G171*'Front page'!$B$18</f>
        <v>15.07631083456792</v>
      </c>
      <c r="Q171" s="30">
        <f>IF(settings!$B$4=0,Calculations!H171,Calculations!I171) *'Front page'!$B$11</f>
        <v>8.5990000000000002</v>
      </c>
      <c r="R171" s="31">
        <f>ROUND(I171*'Front page'!$B$9,2)</f>
        <v>0</v>
      </c>
      <c r="S171" s="30">
        <f>J171*'Front page'!$B$14</f>
        <v>0</v>
      </c>
      <c r="T171" s="103">
        <f>'Front page'!$B$16*Calculations!K171</f>
        <v>0.4</v>
      </c>
      <c r="U171" s="103">
        <f>IF(settings!$B$13=0,(Calculations!M171*'District Wealth Adjustment'!M165)-Calculations!M171,0)</f>
        <v>0</v>
      </c>
      <c r="V171" s="185">
        <f>VLOOKUP(B171,'Remote School Building Weight'!$M$2:$P$174,3,FALSE)</f>
        <v>0</v>
      </c>
      <c r="W171" s="25">
        <f>'Small Dist Weight'!V170-Calculations!D171</f>
        <v>137.58620689655174</v>
      </c>
      <c r="X171" s="25">
        <f>IF(settings!$P$9=0,'Large District Weight'!H170*'Large District Weight'!G170,0)</f>
        <v>0</v>
      </c>
      <c r="Y171" s="25">
        <f t="shared" si="22"/>
        <v>381.66151773111966</v>
      </c>
      <c r="Z171" s="25">
        <f>IF(settings!$F$13=0,'Teacher Exp'!L171,0)</f>
        <v>0</v>
      </c>
      <c r="AA171" s="25">
        <f t="shared" si="23"/>
        <v>381.66151773111966</v>
      </c>
      <c r="AB171" s="28"/>
      <c r="AC171" s="26">
        <f>'Student Enrollment Data'!BU172</f>
        <v>5</v>
      </c>
      <c r="AD171" s="26">
        <f t="shared" si="24"/>
        <v>20</v>
      </c>
      <c r="AE171" s="26">
        <f>AD171*'Front page'!$B$16</f>
        <v>0.4</v>
      </c>
      <c r="AG171" s="6">
        <f>M171*'Front page'!$E$3</f>
        <v>847358.29400528967</v>
      </c>
      <c r="AH171" s="6">
        <f>N171*'Front page'!$E$3</f>
        <v>0</v>
      </c>
      <c r="AI171" s="6">
        <f>O171*'Front page'!$E$3</f>
        <v>84735.829400528964</v>
      </c>
      <c r="AJ171" s="6">
        <f>P171*'Front page'!$E$3</f>
        <v>63875.185143364688</v>
      </c>
      <c r="AK171" s="6">
        <f>Q171*'Front page'!$E$3</f>
        <v>36432.169850757426</v>
      </c>
      <c r="AL171" s="6">
        <f>S171*'Front page'!$E$3</f>
        <v>0</v>
      </c>
      <c r="AM171" s="5">
        <f>Z171*'Front page'!$E$3</f>
        <v>0</v>
      </c>
      <c r="AN171" s="6">
        <f>T171*'Front page'!$E$3</f>
        <v>1694.7165880105795</v>
      </c>
      <c r="AO171" s="6">
        <f>U171*'Front page'!$E$3</f>
        <v>0</v>
      </c>
      <c r="AP171" s="6">
        <f>W171*'Front page'!$E$3</f>
        <v>582924.06777260453</v>
      </c>
      <c r="AQ171" s="6">
        <f>V171*'Front page'!$E$3</f>
        <v>0</v>
      </c>
      <c r="AR171" s="6">
        <f>X171*'Front page'!$E$3</f>
        <v>0</v>
      </c>
      <c r="AS171" s="6">
        <f t="shared" si="25"/>
        <v>1617020.2627605558</v>
      </c>
      <c r="AT171" s="7">
        <f>IF(AS171&gt;'Funding Comparison'!D171*(1+'Front page'!$H$10),'Funding Comparison'!D171*(1+'Front page'!$H$10),AS171)</f>
        <v>1617020.2627605558</v>
      </c>
    </row>
    <row r="172" spans="1:46" s="30" customFormat="1">
      <c r="A172" s="30" t="str">
        <f t="shared" si="18"/>
        <v>794</v>
      </c>
      <c r="B172" s="30">
        <f t="shared" si="30"/>
        <v>794</v>
      </c>
      <c r="C172" s="16" t="s">
        <v>176</v>
      </c>
      <c r="D172">
        <f>IF(settings!$G$4=0,'Student Enrollment Data'!AX173,'Student Enrollment Data'!CK173)</f>
        <v>195</v>
      </c>
      <c r="E172">
        <f>IF(settings!$G$4=0,'Student Enrollment Data'!AY173,'Student Enrollment Data'!CL173)</f>
        <v>0</v>
      </c>
      <c r="F172">
        <f>IF(settings!$G$4=0,'Student Enrollment Data'!AZ173,'Student Enrollment Data'!CM173)</f>
        <v>195</v>
      </c>
      <c r="G172" s="31">
        <f>'Student Enrollment Data'!BK173</f>
        <v>6.4083575990694639</v>
      </c>
      <c r="H172" s="30">
        <f>'Student Enrollment Data'!BF173</f>
        <v>83.84</v>
      </c>
      <c r="I172">
        <f>SUM('Student Enrollment Data'!R173:X173,'Student Enrollment Data'!AQ173:AW173)</f>
        <v>0</v>
      </c>
      <c r="J172" s="30">
        <f>'Student Enrollment Data'!BS173</f>
        <v>6</v>
      </c>
      <c r="K172">
        <f t="shared" si="21"/>
        <v>19.5</v>
      </c>
      <c r="L172" s="28"/>
      <c r="M172" s="30">
        <f t="shared" si="31"/>
        <v>195</v>
      </c>
      <c r="N172" s="30">
        <f>E172*'Front page'!$B$20</f>
        <v>0</v>
      </c>
      <c r="O172" s="30">
        <f>F172*'Front page'!$B$21</f>
        <v>19.5</v>
      </c>
      <c r="P172">
        <f>G172*'Front page'!$B$18</f>
        <v>4.1654324393951514</v>
      </c>
      <c r="Q172" s="30">
        <f>IF(settings!$B$4=0,Calculations!H172,Calculations!I172) *'Front page'!$B$11</f>
        <v>8.3840000000000003</v>
      </c>
      <c r="R172" s="31">
        <f>ROUND(I172*'Front page'!$B$9,2)</f>
        <v>0</v>
      </c>
      <c r="S172" s="30">
        <f>J172*'Front page'!$B$14</f>
        <v>0.60000000000000009</v>
      </c>
      <c r="T172" s="103">
        <f>'Front page'!$B$16*Calculations!K172</f>
        <v>0.39</v>
      </c>
      <c r="U172" s="103">
        <f>IF(settings!$B$13=0,(Calculations!M172*'District Wealth Adjustment'!M166)-Calculations!M172,0)</f>
        <v>0</v>
      </c>
      <c r="V172" s="185">
        <f>VLOOKUP(B172,'Remote School Building Weight'!$M$2:$P$174,3,FALSE)</f>
        <v>0</v>
      </c>
      <c r="W172" s="25">
        <f>'Small Dist Weight'!V171-Calculations!D172</f>
        <v>135.91163793103448</v>
      </c>
      <c r="X172" s="25">
        <f>IF(settings!$P$9=0,'Large District Weight'!H171*'Large District Weight'!G171,0)</f>
        <v>0</v>
      </c>
      <c r="Y172" s="25">
        <f t="shared" si="22"/>
        <v>363.95107037042965</v>
      </c>
      <c r="Z172" s="25">
        <f>IF(settings!$F$13=0,'Teacher Exp'!L172,0)</f>
        <v>12.514264745214064</v>
      </c>
      <c r="AA172" s="25">
        <f t="shared" si="23"/>
        <v>376.46533511564371</v>
      </c>
      <c r="AB172" s="28"/>
      <c r="AC172" s="26">
        <f>'Student Enrollment Data'!BU173</f>
        <v>0</v>
      </c>
      <c r="AD172" s="26">
        <f t="shared" si="24"/>
        <v>19.5</v>
      </c>
      <c r="AE172" s="26">
        <f>AD172*'Front page'!$B$16</f>
        <v>0.39</v>
      </c>
      <c r="AG172" s="6">
        <f>M172*'Front page'!$E$3</f>
        <v>826174.33665515739</v>
      </c>
      <c r="AH172" s="6">
        <f>N172*'Front page'!$E$3</f>
        <v>0</v>
      </c>
      <c r="AI172" s="6">
        <f>O172*'Front page'!$E$3</f>
        <v>82617.433665515739</v>
      </c>
      <c r="AJ172" s="6">
        <f>P172*'Front page'!$E$3</f>
        <v>17648.068628200839</v>
      </c>
      <c r="AK172" s="6">
        <f>Q172*'Front page'!$E$3</f>
        <v>35521.259684701741</v>
      </c>
      <c r="AL172" s="6">
        <f>S172*'Front page'!$E$3</f>
        <v>2542.0748820158692</v>
      </c>
      <c r="AM172" s="5">
        <f>Z172*'Front page'!$E$3</f>
        <v>53020.33012617565</v>
      </c>
      <c r="AN172" s="6">
        <f>T172*'Front page'!$E$3</f>
        <v>1652.3486733103148</v>
      </c>
      <c r="AO172" s="6">
        <f>U172*'Front page'!$E$3</f>
        <v>0</v>
      </c>
      <c r="AP172" s="6">
        <f>W172*'Front page'!$E$3</f>
        <v>575829.26826352999</v>
      </c>
      <c r="AQ172" s="6">
        <f>V172*'Front page'!$E$3</f>
        <v>0</v>
      </c>
      <c r="AR172" s="6">
        <f>X172*'Front page'!$E$3</f>
        <v>0</v>
      </c>
      <c r="AS172" s="6">
        <f t="shared" si="25"/>
        <v>1595005.1205786075</v>
      </c>
      <c r="AT172" s="7">
        <f>IF(AS172&gt;'Funding Comparison'!D172*(1+'Front page'!$H$10),'Funding Comparison'!D172*(1+'Front page'!$H$10),AS172)</f>
        <v>1595005.1205786075</v>
      </c>
    </row>
    <row r="173" spans="1:46" s="30" customFormat="1">
      <c r="A173" s="30" t="str">
        <f t="shared" si="18"/>
        <v>795</v>
      </c>
      <c r="B173" s="30">
        <f t="shared" si="30"/>
        <v>795</v>
      </c>
      <c r="C173" s="16" t="s">
        <v>177</v>
      </c>
      <c r="D173">
        <f>IF(settings!$G$4=0,'Student Enrollment Data'!AX174,'Student Enrollment Data'!CK174)</f>
        <v>1116</v>
      </c>
      <c r="E173">
        <f>IF(settings!$G$4=0,'Student Enrollment Data'!AY174,'Student Enrollment Data'!CL174)</f>
        <v>417</v>
      </c>
      <c r="F173">
        <f>IF(settings!$G$4=0,'Student Enrollment Data'!AZ174,'Student Enrollment Data'!CM174)</f>
        <v>213</v>
      </c>
      <c r="G173" s="31">
        <f>'Student Enrollment Data'!BK174</f>
        <v>61</v>
      </c>
      <c r="H173" s="30">
        <f>'Student Enrollment Data'!BF174</f>
        <v>505.64</v>
      </c>
      <c r="I173">
        <f>SUM('Student Enrollment Data'!R174:X174,'Student Enrollment Data'!AQ174:AW174)</f>
        <v>0</v>
      </c>
      <c r="J173" s="30">
        <f>'Student Enrollment Data'!BS174</f>
        <v>32</v>
      </c>
      <c r="K173">
        <f t="shared" si="21"/>
        <v>111.60000000000001</v>
      </c>
      <c r="L173" s="28"/>
      <c r="M173" s="30">
        <f t="shared" si="31"/>
        <v>1116</v>
      </c>
      <c r="N173" s="30">
        <f>E173*'Front page'!$B$20</f>
        <v>41.7</v>
      </c>
      <c r="O173" s="30">
        <f>F173*'Front page'!$B$21</f>
        <v>21.3</v>
      </c>
      <c r="P173">
        <f>G173*'Front page'!$B$18</f>
        <v>39.65</v>
      </c>
      <c r="Q173" s="30">
        <f>IF(settings!$B$4=0,Calculations!H173,Calculations!I173) *'Front page'!$B$11</f>
        <v>50.564</v>
      </c>
      <c r="R173" s="31">
        <f>ROUND(I173*'Front page'!$B$9,2)</f>
        <v>0</v>
      </c>
      <c r="S173" s="30">
        <f>J173*'Front page'!$B$14</f>
        <v>3.2</v>
      </c>
      <c r="T173" s="103">
        <f>'Front page'!$B$16*Calculations!K173</f>
        <v>2.2320000000000002</v>
      </c>
      <c r="U173" s="103">
        <f>IF(settings!$B$13=0,(Calculations!M173*'District Wealth Adjustment'!M167)-Calculations!M173,0)</f>
        <v>0</v>
      </c>
      <c r="V173" s="185">
        <f>VLOOKUP(B173,'Remote School Building Weight'!$M$2:$P$174,3,FALSE)</f>
        <v>0</v>
      </c>
      <c r="W173" s="25">
        <f>'Small Dist Weight'!V172-Calculations!D173</f>
        <v>148.07896551724139</v>
      </c>
      <c r="X173" s="25">
        <f>IF(settings!$P$9=0,'Large District Weight'!H172*'Large District Weight'!G172,0)</f>
        <v>0</v>
      </c>
      <c r="Y173" s="25">
        <f t="shared" si="22"/>
        <v>1422.7249655172416</v>
      </c>
      <c r="Z173" s="25">
        <f>IF(settings!$F$13=0,'Teacher Exp'!L173,0)</f>
        <v>0</v>
      </c>
      <c r="AA173" s="25">
        <f t="shared" si="23"/>
        <v>1422.7249655172416</v>
      </c>
      <c r="AB173" s="28"/>
      <c r="AC173" s="26">
        <f>'Student Enrollment Data'!BU174</f>
        <v>0</v>
      </c>
      <c r="AD173" s="26">
        <f t="shared" si="24"/>
        <v>111.60000000000001</v>
      </c>
      <c r="AE173" s="26">
        <f>AD173*'Front page'!$B$16</f>
        <v>2.2320000000000002</v>
      </c>
      <c r="AG173" s="6">
        <f>M173*'Front page'!$E$3</f>
        <v>4728259.280549516</v>
      </c>
      <c r="AH173" s="6">
        <f>N173*'Front page'!$E$3</f>
        <v>176674.20430010289</v>
      </c>
      <c r="AI173" s="6">
        <f>O173*'Front page'!$E$3</f>
        <v>90243.658311563355</v>
      </c>
      <c r="AJ173" s="6">
        <f>P173*'Front page'!$E$3</f>
        <v>167988.78178654867</v>
      </c>
      <c r="AK173" s="6">
        <f>Q173*'Front page'!$E$3</f>
        <v>214229.12389041734</v>
      </c>
      <c r="AL173" s="6">
        <f>S173*'Front page'!$E$3</f>
        <v>13557.732704084636</v>
      </c>
      <c r="AM173" s="5">
        <f>Z173*'Front page'!$E$3</f>
        <v>0</v>
      </c>
      <c r="AN173" s="6">
        <f>T173*'Front page'!$E$3</f>
        <v>9456.5185610990338</v>
      </c>
      <c r="AO173" s="6">
        <f>U173*'Front page'!$E$3</f>
        <v>0</v>
      </c>
      <c r="AP173" s="6">
        <f>W173*'Front page'!$E$3</f>
        <v>627379.69799378887</v>
      </c>
      <c r="AQ173" s="6">
        <f>V173*'Front page'!$E$3</f>
        <v>0</v>
      </c>
      <c r="AR173" s="6">
        <f>X173*'Front page'!$E$3</f>
        <v>0</v>
      </c>
      <c r="AS173" s="6">
        <f t="shared" si="25"/>
        <v>6027788.9980971208</v>
      </c>
      <c r="AT173" s="7">
        <f>IF(AS173&gt;'Funding Comparison'!D173*(1+'Front page'!$H$10),'Funding Comparison'!D173*(1+'Front page'!$H$10),AS173)</f>
        <v>6027788.9980971208</v>
      </c>
    </row>
    <row r="174" spans="1:46" s="30" customFormat="1">
      <c r="A174" s="30" t="str">
        <f t="shared" si="18"/>
        <v>796</v>
      </c>
      <c r="B174" s="30">
        <f t="shared" si="30"/>
        <v>796</v>
      </c>
      <c r="C174" s="16" t="s">
        <v>178</v>
      </c>
      <c r="D174">
        <f>IF(settings!$G$4=0,'Student Enrollment Data'!AX175,'Student Enrollment Data'!CK175)</f>
        <v>338.5</v>
      </c>
      <c r="E174">
        <f>IF(settings!$G$4=0,'Student Enrollment Data'!AY175,'Student Enrollment Data'!CL175)</f>
        <v>172.5</v>
      </c>
      <c r="F174">
        <f>IF(settings!$G$4=0,'Student Enrollment Data'!AZ175,'Student Enrollment Data'!CM175)</f>
        <v>0</v>
      </c>
      <c r="G174" s="31">
        <f>'Student Enrollment Data'!BK175</f>
        <v>33</v>
      </c>
      <c r="H174" s="30">
        <f>'Student Enrollment Data'!BF175</f>
        <v>156.08000000000001</v>
      </c>
      <c r="I174">
        <f>SUM('Student Enrollment Data'!R175:X175,'Student Enrollment Data'!AQ175:AW175)</f>
        <v>0</v>
      </c>
      <c r="J174" s="30">
        <f>'Student Enrollment Data'!BS175</f>
        <v>8</v>
      </c>
      <c r="K174">
        <f t="shared" si="21"/>
        <v>33.85</v>
      </c>
      <c r="L174" s="28"/>
      <c r="M174" s="30">
        <f t="shared" si="31"/>
        <v>338.5</v>
      </c>
      <c r="N174" s="30">
        <f>E174*'Front page'!$B$20</f>
        <v>17.25</v>
      </c>
      <c r="O174" s="30">
        <f>F174*'Front page'!$B$21</f>
        <v>0</v>
      </c>
      <c r="P174">
        <f>G174*'Front page'!$B$18</f>
        <v>21.45</v>
      </c>
      <c r="Q174" s="30">
        <f>IF(settings!$B$4=0,Calculations!H174,Calculations!I174) *'Front page'!$B$11</f>
        <v>15.608000000000002</v>
      </c>
      <c r="R174" s="31">
        <f>ROUND(I174*'Front page'!$B$9,2)</f>
        <v>0</v>
      </c>
      <c r="S174" s="30">
        <f>J174*'Front page'!$B$14</f>
        <v>0.8</v>
      </c>
      <c r="T174" s="103">
        <f>'Front page'!$B$16*Calculations!K174</f>
        <v>0.67700000000000005</v>
      </c>
      <c r="U174" s="103">
        <f>IF(settings!$B$13=0,(Calculations!M174*'District Wealth Adjustment'!M168)-Calculations!M174,0)</f>
        <v>0</v>
      </c>
      <c r="V174" s="185">
        <f>VLOOKUP(B174,'Remote School Building Weight'!$M$2:$P$174,3,FALSE)</f>
        <v>0</v>
      </c>
      <c r="W174" s="25">
        <f>'Small Dist Weight'!V173-Calculations!D174</f>
        <v>0</v>
      </c>
      <c r="X174" s="25">
        <f>IF(settings!$P$9=0,'Large District Weight'!H173*'Large District Weight'!G173,0)</f>
        <v>0</v>
      </c>
      <c r="Y174" s="25">
        <f t="shared" si="22"/>
        <v>394.28500000000003</v>
      </c>
      <c r="Z174" s="25">
        <f>IF(settings!$F$13=0,'Teacher Exp'!L174,0)</f>
        <v>0</v>
      </c>
      <c r="AA174" s="25">
        <f t="shared" si="23"/>
        <v>394.28500000000003</v>
      </c>
      <c r="AB174" s="28"/>
      <c r="AC174" s="26">
        <f>'Student Enrollment Data'!BU175</f>
        <v>1</v>
      </c>
      <c r="AD174" s="26">
        <f t="shared" si="24"/>
        <v>33.85</v>
      </c>
      <c r="AE174" s="26">
        <f>AD174*'Front page'!$B$16</f>
        <v>0.67700000000000005</v>
      </c>
      <c r="AG174" s="6">
        <f>M174*'Front page'!$E$3</f>
        <v>1434153.9126039527</v>
      </c>
      <c r="AH174" s="6">
        <f>N174*'Front page'!$E$3</f>
        <v>73084.652857956229</v>
      </c>
      <c r="AI174" s="6">
        <f>O174*'Front page'!$E$3</f>
        <v>0</v>
      </c>
      <c r="AJ174" s="6">
        <f>P174*'Front page'!$E$3</f>
        <v>90879.177032067309</v>
      </c>
      <c r="AK174" s="6">
        <f>Q174*'Front page'!$E$3</f>
        <v>66127.841264172821</v>
      </c>
      <c r="AL174" s="6">
        <f>S174*'Front page'!$E$3</f>
        <v>3389.4331760211589</v>
      </c>
      <c r="AM174" s="5">
        <f>Z174*'Front page'!$E$3</f>
        <v>0</v>
      </c>
      <c r="AN174" s="6">
        <f>T174*'Front page'!$E$3</f>
        <v>2868.3078252079058</v>
      </c>
      <c r="AO174" s="6">
        <f>U174*'Front page'!$E$3</f>
        <v>0</v>
      </c>
      <c r="AP174" s="6">
        <f>W174*'Front page'!$E$3</f>
        <v>0</v>
      </c>
      <c r="AQ174" s="6">
        <f>V174*'Front page'!$E$3</f>
        <v>0</v>
      </c>
      <c r="AR174" s="6">
        <f>X174*'Front page'!$E$3</f>
        <v>0</v>
      </c>
      <c r="AS174" s="6">
        <f t="shared" si="25"/>
        <v>1670503.3247593781</v>
      </c>
      <c r="AT174" s="7">
        <f>IF(AS174&gt;'Funding Comparison'!D174*(1+'Front page'!$H$10),'Funding Comparison'!D174*(1+'Front page'!$H$10),AS174)</f>
        <v>1338152.2815</v>
      </c>
    </row>
    <row r="175" spans="1:46" s="30" customFormat="1">
      <c r="A175" s="30" t="str">
        <f t="shared" si="18"/>
        <v>813</v>
      </c>
      <c r="B175" s="30">
        <f t="shared" si="30"/>
        <v>813</v>
      </c>
      <c r="C175" s="16" t="s">
        <v>179</v>
      </c>
      <c r="D175">
        <f>IF(settings!$G$4=0,'Student Enrollment Data'!AX176,'Student Enrollment Data'!CK176)</f>
        <v>165</v>
      </c>
      <c r="E175">
        <f>IF(settings!$G$4=0,'Student Enrollment Data'!AY176,'Student Enrollment Data'!CL176)</f>
        <v>73</v>
      </c>
      <c r="F175">
        <f>IF(settings!$G$4=0,'Student Enrollment Data'!AZ176,'Student Enrollment Data'!CM176)</f>
        <v>0</v>
      </c>
      <c r="G175" s="31">
        <f>'Student Enrollment Data'!BK176</f>
        <v>16</v>
      </c>
      <c r="H175" s="30">
        <f>'Student Enrollment Data'!BF176</f>
        <v>75.67</v>
      </c>
      <c r="I175">
        <f>SUM('Student Enrollment Data'!R176:X176,'Student Enrollment Data'!AQ176:AW176)</f>
        <v>0</v>
      </c>
      <c r="J175" s="30">
        <f>'Student Enrollment Data'!BS176</f>
        <v>13.413081274914617</v>
      </c>
      <c r="K175">
        <f t="shared" si="21"/>
        <v>16.5</v>
      </c>
      <c r="L175" s="28"/>
      <c r="M175" s="30">
        <f t="shared" si="31"/>
        <v>165</v>
      </c>
      <c r="N175" s="30">
        <f>E175*'Front page'!$B$20</f>
        <v>7.3000000000000007</v>
      </c>
      <c r="O175" s="30">
        <f>F175*'Front page'!$B$21</f>
        <v>0</v>
      </c>
      <c r="P175">
        <f>G175*'Front page'!$B$18</f>
        <v>10.4</v>
      </c>
      <c r="Q175" s="30">
        <f>IF(settings!$B$4=0,Calculations!H175,Calculations!I175) *'Front page'!$B$11</f>
        <v>7.5670000000000002</v>
      </c>
      <c r="R175" s="31">
        <f>ROUND(I175*'Front page'!$B$9,2)</f>
        <v>0</v>
      </c>
      <c r="S175" s="30">
        <f>J175*'Front page'!$B$14</f>
        <v>1.3413081274914618</v>
      </c>
      <c r="T175" s="103">
        <f>'Front page'!$B$16*Calculations!K175</f>
        <v>0.33</v>
      </c>
      <c r="U175" s="103">
        <f>IF(settings!$B$13=0,(Calculations!M175*'District Wealth Adjustment'!M169)-Calculations!M175,0)</f>
        <v>0</v>
      </c>
      <c r="V175" s="185">
        <f>VLOOKUP(B175,'Remote School Building Weight'!$M$2:$P$174,3,FALSE)</f>
        <v>0</v>
      </c>
      <c r="W175" s="25">
        <f>'Small Dist Weight'!V174-Calculations!D175</f>
        <v>89.252468652037635</v>
      </c>
      <c r="X175" s="25">
        <f>IF(settings!$P$9=0,'Large District Weight'!H174*'Large District Weight'!G174,0)</f>
        <v>0</v>
      </c>
      <c r="Y175" s="25">
        <f t="shared" si="22"/>
        <v>281.19077677952913</v>
      </c>
      <c r="Z175" s="25">
        <f>IF(settings!$F$13=0,'Teacher Exp'!L175,0)</f>
        <v>1.7611522237651345</v>
      </c>
      <c r="AA175" s="25">
        <f t="shared" si="23"/>
        <v>282.95192900329425</v>
      </c>
      <c r="AB175" s="28"/>
      <c r="AC175" s="26">
        <f>'Student Enrollment Data'!BU176</f>
        <v>8</v>
      </c>
      <c r="AD175" s="26">
        <f t="shared" si="24"/>
        <v>16.5</v>
      </c>
      <c r="AE175" s="26">
        <f>AD175*'Front page'!$B$16</f>
        <v>0.33</v>
      </c>
      <c r="AG175" s="6">
        <f>M175*'Front page'!$E$3</f>
        <v>699070.592554364</v>
      </c>
      <c r="AH175" s="6">
        <f>N175*'Front page'!$E$3</f>
        <v>30928.577731193076</v>
      </c>
      <c r="AI175" s="6">
        <f>O175*'Front page'!$E$3</f>
        <v>0</v>
      </c>
      <c r="AJ175" s="6">
        <f>P175*'Front page'!$E$3</f>
        <v>44062.631288275064</v>
      </c>
      <c r="AK175" s="6">
        <f>Q175*'Front page'!$E$3</f>
        <v>32059.801053690135</v>
      </c>
      <c r="AL175" s="6">
        <f>S175*'Front page'!$E$3</f>
        <v>5682.8428332329731</v>
      </c>
      <c r="AM175" s="5">
        <f>Z175*'Front page'!$E$3</f>
        <v>7461.6347190662327</v>
      </c>
      <c r="AN175" s="6">
        <f>T175*'Front page'!$E$3</f>
        <v>1398.141185108728</v>
      </c>
      <c r="AO175" s="6">
        <f>U175*'Front page'!$E$3</f>
        <v>0</v>
      </c>
      <c r="AP175" s="6">
        <f>W175*'Front page'!$E$3</f>
        <v>378144.097863756</v>
      </c>
      <c r="AQ175" s="6">
        <f>V175*'Front page'!$E$3</f>
        <v>0</v>
      </c>
      <c r="AR175" s="6">
        <f>X175*'Front page'!$E$3</f>
        <v>0</v>
      </c>
      <c r="AS175" s="6">
        <f t="shared" si="25"/>
        <v>1198808.3192286859</v>
      </c>
      <c r="AT175" s="7">
        <f>IF(AS175&gt;'Funding Comparison'!D175*(1+'Front page'!$H$10),'Funding Comparison'!D175*(1+'Front page'!$H$10),AS175)</f>
        <v>1118783.7609999999</v>
      </c>
    </row>
    <row r="177" spans="4:46">
      <c r="D177">
        <f>SUM(D3:D176)</f>
        <v>293081</v>
      </c>
      <c r="E177">
        <f>SUM(E3:E176)</f>
        <v>78820</v>
      </c>
      <c r="F177">
        <f>SUM(F3:F176)</f>
        <v>92121</v>
      </c>
      <c r="G177">
        <f>SUM(G3:G176)</f>
        <v>32945.749014077039</v>
      </c>
      <c r="H177">
        <f>SUM(H3:H176)</f>
        <v>130687.58000000002</v>
      </c>
      <c r="J177">
        <f>SUM(J3:J176)</f>
        <v>23846.868493640235</v>
      </c>
      <c r="M177">
        <f t="shared" ref="M177:Y177" si="32">SUM(M3:M176)</f>
        <v>293185</v>
      </c>
      <c r="N177">
        <f t="shared" si="32"/>
        <v>7882</v>
      </c>
      <c r="O177">
        <f t="shared" si="32"/>
        <v>9212.0999999999985</v>
      </c>
      <c r="P177">
        <f t="shared" si="32"/>
        <v>21414.736859150074</v>
      </c>
      <c r="Q177">
        <f t="shared" si="32"/>
        <v>13068.758000000003</v>
      </c>
      <c r="R177">
        <f t="shared" si="32"/>
        <v>0</v>
      </c>
      <c r="S177">
        <f t="shared" si="32"/>
        <v>2384.6868493640227</v>
      </c>
      <c r="T177">
        <f t="shared" ref="T177:U177" si="33">SUM(T3:T176)</f>
        <v>586.3700000000008</v>
      </c>
      <c r="U177">
        <f t="shared" si="33"/>
        <v>15220.682814377806</v>
      </c>
      <c r="V177">
        <f t="shared" si="32"/>
        <v>1498.819904443731</v>
      </c>
      <c r="W177">
        <f t="shared" si="32"/>
        <v>17665.01131269593</v>
      </c>
      <c r="X177">
        <f t="shared" si="32"/>
        <v>1245.3900000000001</v>
      </c>
      <c r="Y177">
        <f t="shared" si="32"/>
        <v>383363.55574003153</v>
      </c>
      <c r="Z177">
        <f>SUM(Z3:Z176)</f>
        <v>2247.6667046266357</v>
      </c>
      <c r="AA177">
        <f>SUM(AA3:AA176)</f>
        <v>385611.2224446584</v>
      </c>
      <c r="AC177">
        <f>SUM(AC3:AC176)</f>
        <v>16951</v>
      </c>
      <c r="AD177">
        <f>SUM(AD3:AD176)</f>
        <v>29318.499999999996</v>
      </c>
      <c r="AE177" s="52">
        <f>SUM(AE3:AE176)</f>
        <v>586.3700000000008</v>
      </c>
      <c r="AF177" s="43"/>
      <c r="AG177" s="52">
        <f t="shared" ref="AG177:AR177" si="34">SUM(AG3:AG176)</f>
        <v>1242163707.1397052</v>
      </c>
      <c r="AH177" s="52">
        <f t="shared" si="34"/>
        <v>33394390.366748467</v>
      </c>
      <c r="AI177" s="52">
        <f t="shared" si="34"/>
        <v>39029746.701030634</v>
      </c>
      <c r="AJ177" s="52">
        <f t="shared" si="34"/>
        <v>90729774.457707912</v>
      </c>
      <c r="AK177" s="52">
        <f t="shared" si="34"/>
        <v>55369602.418239892</v>
      </c>
      <c r="AL177" s="52">
        <f t="shared" si="34"/>
        <v>10103420.902069746</v>
      </c>
      <c r="AM177" s="52">
        <f t="shared" si="34"/>
        <v>9522895.1216245908</v>
      </c>
      <c r="AN177" s="52">
        <f t="shared" ref="AN177:AO177" si="35">SUM(AN3:AN176)</f>
        <v>2484327.4142794069</v>
      </c>
      <c r="AO177" s="52">
        <f t="shared" si="35"/>
        <v>64486859.115934044</v>
      </c>
      <c r="AP177" s="52">
        <f t="shared" si="34"/>
        <v>74842969.247550815</v>
      </c>
      <c r="AQ177" s="52">
        <f t="shared" si="34"/>
        <v>6350187.3862530561</v>
      </c>
      <c r="AR177" s="52">
        <f t="shared" si="34"/>
        <v>5276457.7288562385</v>
      </c>
      <c r="AS177" s="52">
        <f>SUM(AS3:AS176)</f>
        <v>1633754337.9999995</v>
      </c>
      <c r="AT177" s="52">
        <f>SUM(AT3:AT176)</f>
        <v>1612659493.1931098</v>
      </c>
    </row>
    <row r="178" spans="4:46" ht="15.75">
      <c r="M178" s="36">
        <f>M177/$AA$177</f>
        <v>0.76031241554977536</v>
      </c>
      <c r="N178" s="36">
        <f>N177/$AA$177</f>
        <v>2.0440276478548798E-2</v>
      </c>
      <c r="O178" s="36">
        <f>O177/$AA$177</f>
        <v>2.3889605550372922E-2</v>
      </c>
      <c r="P178" s="36">
        <f>P177/$AA$177</f>
        <v>5.5534527038365547E-2</v>
      </c>
      <c r="Q178" s="36">
        <f>Q177/$AA$177</f>
        <v>3.3891020902213465E-2</v>
      </c>
      <c r="R178" s="36"/>
      <c r="S178" s="36">
        <f>S177/$AA$177</f>
        <v>6.1841738791880334E-3</v>
      </c>
      <c r="T178" s="36">
        <f t="shared" ref="T178" si="36">T177/$AA$177</f>
        <v>1.5206248310995528E-3</v>
      </c>
      <c r="U178" s="36"/>
      <c r="V178" s="36"/>
      <c r="W178" s="36">
        <f>W177/$AA$177</f>
        <v>4.5810418070057986E-2</v>
      </c>
      <c r="X178" s="36"/>
      <c r="Y178" s="36"/>
      <c r="Z178" s="36"/>
      <c r="AE178" s="53">
        <f>SUM(AE177/AS177)</f>
        <v>3.5890952902859315E-7</v>
      </c>
      <c r="AF178" s="53"/>
      <c r="AG178" s="53">
        <f>SUM(AG177/AS177)</f>
        <v>0.76031241554977624</v>
      </c>
      <c r="AH178" s="53">
        <f>SUM(AH177/AS177)</f>
        <v>2.0440276478548805E-2</v>
      </c>
      <c r="AI178" s="53">
        <f>SUM(AI177/AS177)</f>
        <v>2.3889605550372926E-2</v>
      </c>
      <c r="AJ178" s="53">
        <f>SUM(AJ177/AS177)</f>
        <v>5.5534527038365505E-2</v>
      </c>
      <c r="AK178" s="53">
        <f>SUM(AK177/AS177)</f>
        <v>3.3891020902213458E-2</v>
      </c>
      <c r="AL178" s="53">
        <f>SUM(AL177/AS177)</f>
        <v>6.1841738791880404E-3</v>
      </c>
      <c r="AM178" s="53">
        <f>SUM(AM177/AT177)</f>
        <v>5.905087318072955E-3</v>
      </c>
      <c r="AN178" s="53">
        <f>SUM(AN177/AT177)</f>
        <v>1.5405157906957598E-3</v>
      </c>
      <c r="AO178" s="53">
        <f>SUM(AO177/AS177)</f>
        <v>3.9471576366173398E-2</v>
      </c>
      <c r="AP178" s="53">
        <f>SUM(AP177/AS177)</f>
        <v>4.5810418070057993E-2</v>
      </c>
      <c r="AQ178" s="53">
        <f>SUM(AQ177/AS177)</f>
        <v>3.8868679571659433E-3</v>
      </c>
      <c r="AR178" s="53">
        <f>SUM(AR177/AS177)</f>
        <v>3.2296518553184342E-3</v>
      </c>
    </row>
    <row r="179" spans="4:46">
      <c r="AG179" s="104">
        <f>AG177/M177</f>
        <v>4236.7914700264519</v>
      </c>
      <c r="AH179" s="104">
        <f>AH177/N177</f>
        <v>4236.7914700264482</v>
      </c>
      <c r="AI179" s="104">
        <f>AI177/O177</f>
        <v>4236.7914700264482</v>
      </c>
      <c r="AJ179" s="104">
        <f>AJ177/P177</f>
        <v>4236.7914700264437</v>
      </c>
      <c r="AK179" s="104">
        <f>AK177/Q177</f>
        <v>4236.7914700264464</v>
      </c>
      <c r="AL179" s="104">
        <f>AL177/S177</f>
        <v>4236.7914700264519</v>
      </c>
      <c r="AM179" s="189">
        <f>AM177/Z177</f>
        <v>4236.79147002645</v>
      </c>
      <c r="AN179" s="104">
        <f>AN177/T177</f>
        <v>4236.79147002644</v>
      </c>
      <c r="AO179" s="104">
        <f>AO177/U177</f>
        <v>4236.7914700264482</v>
      </c>
      <c r="AP179" s="104">
        <f>AP177/W177</f>
        <v>4236.7914700264473</v>
      </c>
      <c r="AQ179" s="104">
        <f>AQ177/V177</f>
        <v>4236.7914700264482</v>
      </c>
      <c r="AR179" s="104">
        <f>AR177/X177</f>
        <v>4236.7914700264482</v>
      </c>
      <c r="AS179" s="104">
        <f>AS177/AA177</f>
        <v>4236.7914700264473</v>
      </c>
    </row>
    <row r="181" spans="4:46">
      <c r="AG181" s="6"/>
      <c r="AH181" s="6"/>
      <c r="AI181" s="6"/>
      <c r="AJ181" s="6"/>
      <c r="AK181" s="6"/>
      <c r="AL181" s="6"/>
      <c r="AM181" s="6"/>
      <c r="AN181" s="6"/>
      <c r="AO181" s="6"/>
      <c r="AP181" s="6"/>
      <c r="AQ181" s="6"/>
      <c r="AR181" s="6"/>
      <c r="AS181" s="6"/>
      <c r="AT181" s="7"/>
    </row>
    <row r="182" spans="4:46">
      <c r="AG182" s="6"/>
      <c r="AH182" s="6"/>
      <c r="AI182" s="6"/>
      <c r="AJ182" s="6"/>
      <c r="AK182" s="6"/>
      <c r="AL182" s="6"/>
      <c r="AM182" s="6"/>
      <c r="AN182" s="6"/>
      <c r="AO182" s="6"/>
      <c r="AP182" s="6"/>
      <c r="AQ182" s="6"/>
      <c r="AR182" s="6"/>
      <c r="AS182" s="6"/>
      <c r="AT182" s="6"/>
    </row>
  </sheetData>
  <mergeCells count="3">
    <mergeCell ref="AC1:AE1"/>
    <mergeCell ref="D1:J1"/>
    <mergeCell ref="M1:W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9"/>
  <sheetViews>
    <sheetView zoomScale="150" zoomScaleNormal="150" workbookViewId="0"/>
  </sheetViews>
  <sheetFormatPr defaultColWidth="8.85546875" defaultRowHeight="15"/>
  <cols>
    <col min="1" max="1" width="25.28515625" customWidth="1"/>
    <col min="6" max="6" width="14.85546875" customWidth="1"/>
    <col min="8" max="8" width="4.85546875" customWidth="1"/>
    <col min="9" max="9" width="15.28515625" customWidth="1"/>
    <col min="10" max="10" width="3.7109375" customWidth="1"/>
    <col min="11" max="11" width="10.42578125" bestFit="1" customWidth="1"/>
    <col min="13" max="13" width="4.140625" customWidth="1"/>
  </cols>
  <sheetData>
    <row r="1" spans="1:18" ht="45">
      <c r="A1" s="190" t="s">
        <v>1</v>
      </c>
      <c r="C1" s="343" t="s">
        <v>439</v>
      </c>
      <c r="D1" s="343"/>
      <c r="E1" s="343"/>
      <c r="F1" s="333" t="s">
        <v>316</v>
      </c>
      <c r="G1" s="333"/>
      <c r="I1" s="191" t="s">
        <v>326</v>
      </c>
      <c r="K1" s="339" t="s">
        <v>607</v>
      </c>
      <c r="L1" s="339"/>
      <c r="N1" s="333" t="s">
        <v>444</v>
      </c>
      <c r="O1" s="333"/>
      <c r="P1" s="333"/>
      <c r="Q1" s="333"/>
    </row>
    <row r="2" spans="1:18">
      <c r="A2" s="198" t="s">
        <v>572</v>
      </c>
      <c r="B2" s="198">
        <v>0</v>
      </c>
      <c r="C2" s="200" t="s">
        <v>283</v>
      </c>
      <c r="D2" s="195">
        <v>0</v>
      </c>
      <c r="E2" s="198"/>
      <c r="F2" s="200" t="s">
        <v>331</v>
      </c>
      <c r="G2" s="195">
        <v>0</v>
      </c>
      <c r="I2" s="195" t="s">
        <v>285</v>
      </c>
      <c r="K2" s="195" t="s">
        <v>437</v>
      </c>
      <c r="L2" s="195">
        <v>0</v>
      </c>
      <c r="N2" s="195" t="s">
        <v>285</v>
      </c>
      <c r="O2" s="195">
        <v>0</v>
      </c>
      <c r="P2" s="195">
        <v>17500</v>
      </c>
      <c r="Q2" s="197">
        <v>0</v>
      </c>
    </row>
    <row r="3" spans="1:18">
      <c r="A3" s="198" t="s">
        <v>568</v>
      </c>
      <c r="B3" s="198">
        <v>1</v>
      </c>
      <c r="C3" s="200" t="s">
        <v>284</v>
      </c>
      <c r="D3" s="195">
        <v>1</v>
      </c>
      <c r="E3" s="198"/>
      <c r="F3" s="200" t="s">
        <v>307</v>
      </c>
      <c r="G3" s="195">
        <v>1</v>
      </c>
      <c r="I3" s="195" t="s">
        <v>286</v>
      </c>
      <c r="K3" s="195" t="s">
        <v>438</v>
      </c>
      <c r="L3" s="195">
        <v>1</v>
      </c>
      <c r="N3" s="195" t="s">
        <v>286</v>
      </c>
      <c r="O3" s="195">
        <v>1</v>
      </c>
      <c r="P3" s="195">
        <v>20000</v>
      </c>
      <c r="Q3" s="197">
        <f>'Front page'!E17</f>
        <v>0.02</v>
      </c>
      <c r="R3" s="84"/>
    </row>
    <row r="4" spans="1:18" ht="15.75" thickBot="1">
      <c r="A4" s="199" t="s">
        <v>574</v>
      </c>
      <c r="B4" s="203">
        <f>VLOOKUP('Front page'!A10,settings!A2:B3,2,FALSE)</f>
        <v>0</v>
      </c>
      <c r="C4" s="202" t="s">
        <v>574</v>
      </c>
      <c r="D4" s="195">
        <f>VLOOKUP('Front page'!$E$9,settings!C2:D3,2,FALSE)</f>
        <v>1</v>
      </c>
      <c r="E4" s="198"/>
      <c r="F4" s="202" t="s">
        <v>574</v>
      </c>
      <c r="G4" s="195">
        <f>VLOOKUP('Front page'!$A$7,settings!F2:G3,2,FALSE)</f>
        <v>1</v>
      </c>
      <c r="K4" s="196" t="s">
        <v>574</v>
      </c>
      <c r="L4" s="195">
        <f>VLOOKUP('Front page'!E13,settings!K2:L3,2,FALSE)</f>
        <v>0</v>
      </c>
      <c r="N4" s="195"/>
      <c r="O4" s="195"/>
      <c r="P4" s="195"/>
      <c r="Q4" s="195"/>
    </row>
    <row r="5" spans="1:18" ht="25.5" customHeight="1" thickTop="1">
      <c r="B5" s="341" t="s">
        <v>573</v>
      </c>
      <c r="C5" s="195" t="s">
        <v>285</v>
      </c>
      <c r="D5" s="195">
        <v>0</v>
      </c>
      <c r="E5" s="201"/>
      <c r="N5" s="195"/>
      <c r="O5" s="195"/>
      <c r="P5" s="195">
        <f>P3-P2</f>
        <v>2500</v>
      </c>
      <c r="Q5" s="195">
        <f>Q3-Q2</f>
        <v>0.02</v>
      </c>
    </row>
    <row r="6" spans="1:18">
      <c r="B6" s="342"/>
      <c r="C6" s="195" t="s">
        <v>286</v>
      </c>
      <c r="D6" s="195">
        <v>1</v>
      </c>
      <c r="E6" s="201"/>
      <c r="N6" s="195"/>
      <c r="O6" s="195" t="s">
        <v>442</v>
      </c>
      <c r="P6" s="195">
        <f>Q5/P5</f>
        <v>7.9999999999999996E-6</v>
      </c>
      <c r="Q6" s="195"/>
    </row>
    <row r="7" spans="1:18">
      <c r="B7" s="200"/>
      <c r="C7" s="196" t="s">
        <v>574</v>
      </c>
      <c r="D7" s="195">
        <f>VLOOKUP('Front page'!$E$10,settings!C5:D6,2,)</f>
        <v>0</v>
      </c>
      <c r="E7" s="201"/>
      <c r="N7" s="195"/>
      <c r="O7" s="195" t="s">
        <v>443</v>
      </c>
      <c r="P7" s="195">
        <f>Q3-(P6*P3)</f>
        <v>-0.14000000000000001</v>
      </c>
      <c r="Q7" s="195"/>
    </row>
    <row r="8" spans="1:18">
      <c r="N8" s="195"/>
      <c r="O8" s="195"/>
      <c r="P8" s="195"/>
      <c r="Q8" s="195"/>
    </row>
    <row r="9" spans="1:18">
      <c r="N9" s="195"/>
      <c r="O9" s="196" t="s">
        <v>574</v>
      </c>
      <c r="P9" s="195">
        <f>VLOOKUP('Front page'!E16,settings!N2:O3,2,FALSE)</f>
        <v>0</v>
      </c>
      <c r="Q9" s="195"/>
    </row>
    <row r="10" spans="1:18">
      <c r="A10" s="343" t="s">
        <v>605</v>
      </c>
      <c r="B10" s="343"/>
      <c r="C10" s="343"/>
      <c r="E10" t="s">
        <v>835</v>
      </c>
    </row>
    <row r="11" spans="1:18">
      <c r="A11" s="195" t="s">
        <v>285</v>
      </c>
      <c r="B11" s="195">
        <v>0</v>
      </c>
      <c r="C11" s="195"/>
      <c r="E11" t="s">
        <v>285</v>
      </c>
      <c r="F11">
        <v>0</v>
      </c>
    </row>
    <row r="12" spans="1:18">
      <c r="A12" s="195" t="s">
        <v>286</v>
      </c>
      <c r="B12" s="195">
        <v>1</v>
      </c>
      <c r="C12" s="195"/>
      <c r="E12" t="s">
        <v>286</v>
      </c>
      <c r="F12">
        <v>1</v>
      </c>
    </row>
    <row r="13" spans="1:18">
      <c r="A13" s="196" t="s">
        <v>574</v>
      </c>
      <c r="B13" s="195">
        <f>VLOOKUP('Front page'!E20,settings!A11:B12,2,FALSE)</f>
        <v>0</v>
      </c>
      <c r="C13" s="195"/>
      <c r="E13" s="275" t="s">
        <v>836</v>
      </c>
      <c r="F13">
        <f>VLOOKUP('Front page'!E23,settings!E11:F12,2,FALSE)</f>
        <v>0</v>
      </c>
    </row>
    <row r="14" spans="1:18">
      <c r="A14" s="195"/>
      <c r="B14" s="195">
        <v>1</v>
      </c>
      <c r="C14" s="197">
        <v>0</v>
      </c>
    </row>
    <row r="15" spans="1:18">
      <c r="A15" s="195"/>
      <c r="B15" s="195">
        <v>-0.5</v>
      </c>
      <c r="C15" s="197">
        <f>'Front page'!E21</f>
        <v>0.1</v>
      </c>
    </row>
    <row r="16" spans="1:18">
      <c r="A16" s="195"/>
      <c r="B16" s="195"/>
      <c r="C16" s="195"/>
    </row>
    <row r="17" spans="1:3">
      <c r="A17" s="195"/>
      <c r="B17" s="195">
        <f>B15-B14</f>
        <v>-1.5</v>
      </c>
      <c r="C17" s="197">
        <f>C15-C14</f>
        <v>0.1</v>
      </c>
    </row>
    <row r="18" spans="1:3">
      <c r="A18" s="195" t="s">
        <v>442</v>
      </c>
      <c r="B18" s="195">
        <v>0</v>
      </c>
      <c r="C18" s="195"/>
    </row>
    <row r="19" spans="1:3">
      <c r="A19" s="195" t="s">
        <v>443</v>
      </c>
      <c r="B19" s="195">
        <f>C15-(B18*B15)</f>
        <v>0.1</v>
      </c>
      <c r="C19" s="195"/>
    </row>
  </sheetData>
  <mergeCells count="6">
    <mergeCell ref="N1:Q1"/>
    <mergeCell ref="B5:B6"/>
    <mergeCell ref="K1:L1"/>
    <mergeCell ref="F1:G1"/>
    <mergeCell ref="A10:C10"/>
    <mergeCell ref="C1:E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zoomScaleNormal="100" workbookViewId="0">
      <pane xSplit="3" ySplit="2" topLeftCell="H3" activePane="bottomRight" state="frozen"/>
      <selection pane="topRight" activeCell="D1" sqref="D1"/>
      <selection pane="bottomLeft" activeCell="A3" sqref="A3"/>
      <selection pane="bottomRight" activeCell="A2" sqref="A2"/>
    </sheetView>
  </sheetViews>
  <sheetFormatPr defaultColWidth="8.85546875" defaultRowHeight="15"/>
  <cols>
    <col min="1" max="1" width="11.28515625" bestFit="1" customWidth="1"/>
    <col min="2" max="2" width="12" bestFit="1" customWidth="1"/>
    <col min="3" max="3" width="47.140625" bestFit="1" customWidth="1"/>
    <col min="4" max="4" width="14.42578125" style="38" bestFit="1" customWidth="1"/>
    <col min="5" max="5" width="13.42578125" style="38" bestFit="1" customWidth="1"/>
    <col min="6" max="6" width="19.85546875" style="38" customWidth="1"/>
    <col min="7" max="7" width="19.85546875" style="241" customWidth="1"/>
    <col min="8" max="8" width="19.85546875" style="38" customWidth="1"/>
    <col min="9" max="9" width="0.140625" style="212" customWidth="1"/>
    <col min="10" max="10" width="15" bestFit="1" customWidth="1"/>
    <col min="11" max="12" width="15" customWidth="1"/>
    <col min="13" max="13" width="19.85546875" style="108" customWidth="1"/>
    <col min="14" max="14" width="19.42578125" customWidth="1"/>
    <col min="15" max="15" width="15" hidden="1" customWidth="1"/>
    <col min="16" max="17" width="19.85546875" customWidth="1"/>
    <col min="18" max="18" width="8.7109375" style="28" customWidth="1"/>
    <col min="19" max="19" width="16" bestFit="1" customWidth="1"/>
    <col min="20" max="20" width="12.42578125" bestFit="1" customWidth="1"/>
    <col min="21" max="21" width="19.7109375" customWidth="1"/>
    <col min="22" max="22" width="21" customWidth="1"/>
    <col min="23" max="23" width="15.42578125" customWidth="1"/>
    <col min="24" max="25" width="0.140625" customWidth="1"/>
    <col min="26" max="26" width="0.140625" style="8" customWidth="1"/>
    <col min="27" max="27" width="20.28515625" customWidth="1"/>
    <col min="28" max="28" width="20.85546875" customWidth="1"/>
    <col min="29" max="29" width="19.42578125" customWidth="1"/>
    <col min="30" max="30" width="18.42578125" customWidth="1"/>
    <col min="31" max="32" width="20.28515625" customWidth="1"/>
    <col min="33" max="33" width="20.140625" customWidth="1"/>
    <col min="34" max="34" width="18" customWidth="1"/>
  </cols>
  <sheetData>
    <row r="1" spans="1:34">
      <c r="C1" s="2"/>
      <c r="D1" s="234" t="s">
        <v>561</v>
      </c>
      <c r="E1" s="234"/>
      <c r="F1" s="234"/>
      <c r="G1" s="235"/>
      <c r="H1" s="234"/>
      <c r="J1" s="333" t="s">
        <v>562</v>
      </c>
      <c r="K1" s="333"/>
      <c r="L1" s="333"/>
      <c r="M1" s="209"/>
      <c r="N1" s="208"/>
      <c r="X1" s="56">
        <f>SUM('Front page'!H10)</f>
        <v>7.4999999999999997E-2</v>
      </c>
    </row>
    <row r="2" spans="1:34" ht="44.1" customHeight="1">
      <c r="A2" s="9" t="s">
        <v>180</v>
      </c>
      <c r="B2" s="10" t="s">
        <v>181</v>
      </c>
      <c r="C2" s="10" t="s">
        <v>182</v>
      </c>
      <c r="D2" s="236" t="s">
        <v>251</v>
      </c>
      <c r="E2" s="236" t="s">
        <v>252</v>
      </c>
      <c r="F2" s="236" t="s">
        <v>257</v>
      </c>
      <c r="G2" s="237" t="s">
        <v>308</v>
      </c>
      <c r="H2" s="236" t="s">
        <v>616</v>
      </c>
      <c r="I2" s="216" t="s">
        <v>618</v>
      </c>
      <c r="J2" s="27" t="s">
        <v>258</v>
      </c>
      <c r="K2" s="35" t="s">
        <v>252</v>
      </c>
      <c r="L2" s="35" t="s">
        <v>319</v>
      </c>
      <c r="M2" s="210" t="s">
        <v>308</v>
      </c>
      <c r="N2" s="194" t="s">
        <v>616</v>
      </c>
      <c r="O2" s="216" t="s">
        <v>618</v>
      </c>
      <c r="P2" s="193" t="s">
        <v>617</v>
      </c>
      <c r="Q2" s="193" t="s">
        <v>619</v>
      </c>
      <c r="R2" s="217"/>
      <c r="S2" s="3" t="s">
        <v>620</v>
      </c>
      <c r="T2" s="3" t="s">
        <v>838</v>
      </c>
      <c r="U2" s="204" t="s">
        <v>621</v>
      </c>
      <c r="V2" s="96" t="s">
        <v>329</v>
      </c>
      <c r="W2" s="35" t="s">
        <v>318</v>
      </c>
      <c r="X2" s="8" t="s">
        <v>320</v>
      </c>
      <c r="Y2" s="45" t="s">
        <v>324</v>
      </c>
      <c r="Z2" s="46" t="s">
        <v>321</v>
      </c>
      <c r="AA2" t="s">
        <v>329</v>
      </c>
      <c r="AB2" t="s">
        <v>623</v>
      </c>
      <c r="AC2" s="221" t="s">
        <v>626</v>
      </c>
      <c r="AD2" s="221" t="s">
        <v>627</v>
      </c>
      <c r="AE2" s="221" t="s">
        <v>628</v>
      </c>
      <c r="AF2" s="221" t="s">
        <v>318</v>
      </c>
      <c r="AG2" s="221" t="s">
        <v>629</v>
      </c>
      <c r="AH2" s="221" t="s">
        <v>318</v>
      </c>
    </row>
    <row r="3" spans="1:34">
      <c r="A3" t="str">
        <f t="shared" ref="A3:A34" si="0">RIGHT(C3,3)</f>
        <v>001</v>
      </c>
      <c r="B3">
        <f t="shared" ref="B3:B34" si="1">A3*1</f>
        <v>1</v>
      </c>
      <c r="C3" s="15" t="s">
        <v>12</v>
      </c>
      <c r="D3" s="155">
        <v>130783437.73999999</v>
      </c>
      <c r="E3" s="155">
        <v>12681046.119999999</v>
      </c>
      <c r="F3" s="155">
        <f t="shared" ref="F3:F42" si="2">D3+E3</f>
        <v>143464483.85999998</v>
      </c>
      <c r="G3" s="238">
        <v>24903.5</v>
      </c>
      <c r="H3" s="239">
        <f t="shared" ref="H3:H34" si="3">SUM(F3/G3)</f>
        <v>5760.8161045636152</v>
      </c>
      <c r="I3" s="213">
        <f t="shared" ref="I3:I34" si="4">F3/$F$177</f>
        <v>8.2163757052624145E-2</v>
      </c>
      <c r="J3" s="5">
        <f>Calculations!AS3</f>
        <v>130079932.6525753</v>
      </c>
      <c r="K3" s="5">
        <f t="shared" ref="K3:K34" si="5">E3*1.091947</f>
        <v>13847030.267595639</v>
      </c>
      <c r="L3" s="5">
        <f t="shared" ref="L3:L34" si="6">J3+K3</f>
        <v>143926962.92017093</v>
      </c>
      <c r="M3" s="146">
        <v>24903.5</v>
      </c>
      <c r="N3" s="58">
        <f t="shared" ref="N3:N34" si="7">SUM(L3/M3)</f>
        <v>5779.386950435518</v>
      </c>
      <c r="O3" s="36">
        <f t="shared" ref="O3:O34" si="8">L3/$L$177</f>
        <v>7.8433821298252437E-2</v>
      </c>
      <c r="P3" s="211">
        <f>SUM(H3*'Front page'!$H$10)+H3</f>
        <v>6192.8773124058862</v>
      </c>
      <c r="Q3" s="211">
        <f t="shared" ref="Q3:Q34" si="9">MIN(N3,P3)*M3</f>
        <v>143926962.92017093</v>
      </c>
      <c r="R3" s="218"/>
      <c r="S3" s="5">
        <f t="shared" ref="S3:S34" si="10">L3-F3</f>
        <v>462479.06017094851</v>
      </c>
      <c r="T3" s="5" t="str">
        <f t="shared" ref="T3:T34" si="11">IF(S3&lt;0,S3,"")</f>
        <v/>
      </c>
      <c r="U3" s="5">
        <f t="shared" ref="U3:U34" si="12">SUM(Q3-F3)</f>
        <v>462479.06017094851</v>
      </c>
      <c r="V3" s="5">
        <f t="shared" ref="V3:V34" si="13">SUM(Q3-L3)</f>
        <v>0</v>
      </c>
      <c r="W3" s="55">
        <f t="shared" ref="W3:W34" si="14">SUM(S3/F3)</f>
        <v>3.2236484440445854E-3</v>
      </c>
      <c r="X3" s="6">
        <f t="shared" ref="X3:X34" si="15">SUM(F3*$X$1)+F3</f>
        <v>154224320.14949998</v>
      </c>
      <c r="Y3" s="5">
        <f t="shared" ref="Y3:Y34" si="16">MIN(L3,X3)</f>
        <v>143926962.92017093</v>
      </c>
      <c r="Z3" s="57">
        <f t="shared" ref="Z3:Z34" si="17">SUM(Y3-F3)</f>
        <v>462479.06017094851</v>
      </c>
      <c r="AA3" s="5">
        <f t="shared" ref="AA3:AA34" si="18">SUM(Y3-L3)</f>
        <v>0</v>
      </c>
      <c r="AB3" s="58">
        <f>SUM(F3*'Front page'!$H$11)+F3</f>
        <v>146333773.53719997</v>
      </c>
      <c r="AC3" s="58">
        <f t="shared" ref="AC3:AC34" si="19">MAX(AB3,L3)</f>
        <v>146333773.53719997</v>
      </c>
      <c r="AD3" s="58">
        <f t="shared" ref="AD3:AD34" si="20">MAX(Q3,AB3)</f>
        <v>146333773.53719997</v>
      </c>
      <c r="AE3" s="58">
        <f t="shared" ref="AE3:AE34" si="21">SUM(AC3-F3)</f>
        <v>2869289.6771999896</v>
      </c>
      <c r="AF3" s="56">
        <f t="shared" ref="AF3:AF34" si="22">SUM(AE3/F3)</f>
        <v>1.9999999999999931E-2</v>
      </c>
      <c r="AG3" s="58">
        <f t="shared" ref="AG3:AG34" si="23">SUM(AD3-F3)</f>
        <v>2869289.6771999896</v>
      </c>
      <c r="AH3" s="56">
        <f t="shared" ref="AH3:AH34" si="24">SUM(AG3/F3)</f>
        <v>1.9999999999999931E-2</v>
      </c>
    </row>
    <row r="4" spans="1:34">
      <c r="A4" t="str">
        <f t="shared" si="0"/>
        <v>002</v>
      </c>
      <c r="B4">
        <f t="shared" si="1"/>
        <v>2</v>
      </c>
      <c r="C4" s="15" t="s">
        <v>13</v>
      </c>
      <c r="D4" s="155">
        <v>192634176</v>
      </c>
      <c r="E4" s="155">
        <v>18628750</v>
      </c>
      <c r="F4" s="155">
        <f t="shared" si="2"/>
        <v>211262926</v>
      </c>
      <c r="G4" s="238">
        <v>37280.5</v>
      </c>
      <c r="H4" s="239">
        <f t="shared" si="3"/>
        <v>5666.8479768243451</v>
      </c>
      <c r="I4" s="213">
        <f t="shared" si="4"/>
        <v>0.12099270327441804</v>
      </c>
      <c r="J4" s="5">
        <f>Calculations!AS4</f>
        <v>189745021.31781775</v>
      </c>
      <c r="K4" s="5">
        <f t="shared" si="5"/>
        <v>20341607.67625</v>
      </c>
      <c r="L4" s="5">
        <f t="shared" si="6"/>
        <v>210086628.99406776</v>
      </c>
      <c r="M4" s="146">
        <v>37280.5</v>
      </c>
      <c r="N4" s="58">
        <f t="shared" si="7"/>
        <v>5635.2953687334602</v>
      </c>
      <c r="O4" s="36">
        <f t="shared" si="8"/>
        <v>0.11448790957127633</v>
      </c>
      <c r="P4" s="211">
        <f>SUM(H4*'Front page'!$H$10)+H4</f>
        <v>6091.8615750861709</v>
      </c>
      <c r="Q4" s="211">
        <f t="shared" si="9"/>
        <v>210086628.99406776</v>
      </c>
      <c r="R4" s="218"/>
      <c r="S4" s="5">
        <f t="shared" si="10"/>
        <v>-1176297.0059322417</v>
      </c>
      <c r="T4" s="5">
        <f t="shared" si="11"/>
        <v>-1176297.0059322417</v>
      </c>
      <c r="U4" s="5">
        <f t="shared" si="12"/>
        <v>-1176297.0059322417</v>
      </c>
      <c r="V4" s="5">
        <f t="shared" si="13"/>
        <v>0</v>
      </c>
      <c r="W4" s="55">
        <f t="shared" si="14"/>
        <v>-5.5679291591949343E-3</v>
      </c>
      <c r="X4" s="6">
        <f t="shared" si="15"/>
        <v>227107645.44999999</v>
      </c>
      <c r="Y4" s="5">
        <f t="shared" si="16"/>
        <v>210086628.99406776</v>
      </c>
      <c r="Z4" s="57">
        <f t="shared" si="17"/>
        <v>-1176297.0059322417</v>
      </c>
      <c r="AA4" s="5">
        <f t="shared" si="18"/>
        <v>0</v>
      </c>
      <c r="AB4" s="58">
        <f>SUM(F4*'Front page'!$H$11)+F4</f>
        <v>215488184.52000001</v>
      </c>
      <c r="AC4" s="58">
        <f t="shared" si="19"/>
        <v>215488184.52000001</v>
      </c>
      <c r="AD4" s="58">
        <f t="shared" si="20"/>
        <v>215488184.52000001</v>
      </c>
      <c r="AE4" s="58">
        <f t="shared" si="21"/>
        <v>4225258.5200000107</v>
      </c>
      <c r="AF4" s="56">
        <f t="shared" si="22"/>
        <v>2.0000000000000052E-2</v>
      </c>
      <c r="AG4" s="58">
        <f t="shared" si="23"/>
        <v>4225258.5200000107</v>
      </c>
      <c r="AH4" s="56">
        <f t="shared" si="24"/>
        <v>2.0000000000000052E-2</v>
      </c>
    </row>
    <row r="5" spans="1:34">
      <c r="A5" t="str">
        <f t="shared" si="0"/>
        <v>003</v>
      </c>
      <c r="B5">
        <f t="shared" si="1"/>
        <v>3</v>
      </c>
      <c r="C5" s="15" t="s">
        <v>14</v>
      </c>
      <c r="D5" s="155">
        <v>26329257</v>
      </c>
      <c r="E5" s="155">
        <v>3445687</v>
      </c>
      <c r="F5" s="155">
        <f t="shared" si="2"/>
        <v>29774944</v>
      </c>
      <c r="G5" s="238">
        <v>5187</v>
      </c>
      <c r="H5" s="239">
        <f t="shared" si="3"/>
        <v>5740.3015230383653</v>
      </c>
      <c r="I5" s="213">
        <f t="shared" si="4"/>
        <v>1.7052452281212906E-2</v>
      </c>
      <c r="J5" s="5">
        <f>Calculations!AS5</f>
        <v>27821602.96889564</v>
      </c>
      <c r="K5" s="5">
        <f t="shared" si="5"/>
        <v>3762507.582589</v>
      </c>
      <c r="L5" s="5">
        <f t="shared" si="6"/>
        <v>31584110.551484641</v>
      </c>
      <c r="M5" s="146">
        <v>5187</v>
      </c>
      <c r="N5" s="58">
        <f t="shared" si="7"/>
        <v>6089.0901390947829</v>
      </c>
      <c r="O5" s="36">
        <f t="shared" si="8"/>
        <v>1.7211941616758833E-2</v>
      </c>
      <c r="P5" s="211">
        <f>SUM(H5*'Front page'!$H$10)+H5</f>
        <v>6170.8241372662424</v>
      </c>
      <c r="Q5" s="211">
        <f t="shared" si="9"/>
        <v>31584110.551484641</v>
      </c>
      <c r="R5" s="218"/>
      <c r="S5" s="5">
        <f t="shared" si="10"/>
        <v>1809166.5514846407</v>
      </c>
      <c r="T5" s="5" t="str">
        <f t="shared" si="11"/>
        <v/>
      </c>
      <c r="U5" s="5">
        <f t="shared" si="12"/>
        <v>1809166.5514846407</v>
      </c>
      <c r="V5" s="5">
        <f t="shared" si="13"/>
        <v>0</v>
      </c>
      <c r="W5" s="55">
        <f t="shared" si="14"/>
        <v>6.0761375453288531E-2</v>
      </c>
      <c r="X5" s="6">
        <f t="shared" si="15"/>
        <v>32008064.800000001</v>
      </c>
      <c r="Y5" s="5">
        <f t="shared" si="16"/>
        <v>31584110.551484641</v>
      </c>
      <c r="Z5" s="57">
        <f t="shared" si="17"/>
        <v>1809166.5514846407</v>
      </c>
      <c r="AA5" s="5">
        <f t="shared" si="18"/>
        <v>0</v>
      </c>
      <c r="AB5" s="58">
        <f>SUM(F5*'Front page'!$H$11)+F5</f>
        <v>30370442.879999999</v>
      </c>
      <c r="AC5" s="58">
        <f t="shared" si="19"/>
        <v>31584110.551484641</v>
      </c>
      <c r="AD5" s="58">
        <f t="shared" si="20"/>
        <v>31584110.551484641</v>
      </c>
      <c r="AE5" s="58">
        <f t="shared" si="21"/>
        <v>1809166.5514846407</v>
      </c>
      <c r="AF5" s="56">
        <f t="shared" si="22"/>
        <v>6.0761375453288531E-2</v>
      </c>
      <c r="AG5" s="58">
        <f t="shared" si="23"/>
        <v>1809166.5514846407</v>
      </c>
      <c r="AH5" s="56">
        <f t="shared" si="24"/>
        <v>6.0761375453288531E-2</v>
      </c>
    </row>
    <row r="6" spans="1:34">
      <c r="A6" t="str">
        <f t="shared" si="0"/>
        <v>011</v>
      </c>
      <c r="B6">
        <f t="shared" si="1"/>
        <v>11</v>
      </c>
      <c r="C6" s="15" t="s">
        <v>15</v>
      </c>
      <c r="D6" s="155">
        <v>1505839</v>
      </c>
      <c r="E6" s="155">
        <v>190147</v>
      </c>
      <c r="F6" s="155">
        <f t="shared" si="2"/>
        <v>1695986</v>
      </c>
      <c r="G6" s="238">
        <v>160</v>
      </c>
      <c r="H6" s="239">
        <f t="shared" si="3"/>
        <v>10599.9125</v>
      </c>
      <c r="I6" s="213">
        <f t="shared" si="4"/>
        <v>9.7131065417302399E-4</v>
      </c>
      <c r="J6" s="5">
        <f>Calculations!AS6</f>
        <v>1471408.2391442817</v>
      </c>
      <c r="K6" s="5">
        <f t="shared" si="5"/>
        <v>207630.44620899999</v>
      </c>
      <c r="L6" s="5">
        <f t="shared" si="6"/>
        <v>1679038.6853532817</v>
      </c>
      <c r="M6" s="146">
        <v>160</v>
      </c>
      <c r="N6" s="58">
        <f t="shared" si="7"/>
        <v>10493.99178345801</v>
      </c>
      <c r="O6" s="36">
        <f t="shared" si="8"/>
        <v>9.1500173093276302E-4</v>
      </c>
      <c r="P6" s="211">
        <f>SUM(H6*'Front page'!$H$10)+H6</f>
        <v>11394.9059375</v>
      </c>
      <c r="Q6" s="211">
        <f t="shared" si="9"/>
        <v>1679038.6853532817</v>
      </c>
      <c r="R6" s="218"/>
      <c r="S6" s="5">
        <f t="shared" si="10"/>
        <v>-16947.314646718325</v>
      </c>
      <c r="T6" s="5">
        <f t="shared" si="11"/>
        <v>-16947.314646718325</v>
      </c>
      <c r="U6" s="5">
        <f t="shared" si="12"/>
        <v>-16947.314646718325</v>
      </c>
      <c r="V6" s="5">
        <f t="shared" si="13"/>
        <v>0</v>
      </c>
      <c r="W6" s="55">
        <f t="shared" si="14"/>
        <v>-9.9926029145985425E-3</v>
      </c>
      <c r="X6" s="6">
        <f t="shared" si="15"/>
        <v>1823184.95</v>
      </c>
      <c r="Y6" s="5">
        <f t="shared" si="16"/>
        <v>1679038.6853532817</v>
      </c>
      <c r="Z6" s="57">
        <f t="shared" si="17"/>
        <v>-16947.314646718325</v>
      </c>
      <c r="AA6" s="5">
        <f t="shared" si="18"/>
        <v>0</v>
      </c>
      <c r="AB6" s="58">
        <f>SUM(F6*'Front page'!$H$11)+F6</f>
        <v>1729905.72</v>
      </c>
      <c r="AC6" s="58">
        <f t="shared" si="19"/>
        <v>1729905.72</v>
      </c>
      <c r="AD6" s="58">
        <f t="shared" si="20"/>
        <v>1729905.72</v>
      </c>
      <c r="AE6" s="58">
        <f t="shared" si="21"/>
        <v>33919.719999999972</v>
      </c>
      <c r="AF6" s="56">
        <f t="shared" si="22"/>
        <v>1.9999999999999983E-2</v>
      </c>
      <c r="AG6" s="58">
        <f t="shared" si="23"/>
        <v>33919.719999999972</v>
      </c>
      <c r="AH6" s="56">
        <f t="shared" si="24"/>
        <v>1.9999999999999983E-2</v>
      </c>
    </row>
    <row r="7" spans="1:34">
      <c r="A7" t="str">
        <f t="shared" si="0"/>
        <v>013</v>
      </c>
      <c r="B7">
        <f t="shared" si="1"/>
        <v>13</v>
      </c>
      <c r="C7" s="15" t="s">
        <v>16</v>
      </c>
      <c r="D7" s="155">
        <v>1936931.8900000001</v>
      </c>
      <c r="E7" s="155">
        <v>178753.23</v>
      </c>
      <c r="F7" s="155">
        <f t="shared" si="2"/>
        <v>2115685.12</v>
      </c>
      <c r="G7" s="238">
        <v>251</v>
      </c>
      <c r="H7" s="239">
        <f t="shared" si="3"/>
        <v>8429.0243824701192</v>
      </c>
      <c r="I7" s="213">
        <f t="shared" si="4"/>
        <v>1.2116771588511538E-3</v>
      </c>
      <c r="J7" s="5">
        <f>Calculations!AS7</f>
        <v>2070773.0240387206</v>
      </c>
      <c r="K7" s="5">
        <f t="shared" si="5"/>
        <v>195189.05323881001</v>
      </c>
      <c r="L7" s="5">
        <f t="shared" si="6"/>
        <v>2265962.0772775305</v>
      </c>
      <c r="M7" s="146">
        <v>251</v>
      </c>
      <c r="N7" s="58">
        <f t="shared" si="7"/>
        <v>9027.7373596714369</v>
      </c>
      <c r="O7" s="36">
        <f t="shared" si="8"/>
        <v>1.2348489889026531E-3</v>
      </c>
      <c r="P7" s="211">
        <f>SUM(H7*'Front page'!$H$10)+H7</f>
        <v>9061.2012111553777</v>
      </c>
      <c r="Q7" s="211">
        <f t="shared" si="9"/>
        <v>2265962.0772775305</v>
      </c>
      <c r="R7" s="218"/>
      <c r="S7" s="5">
        <f t="shared" si="10"/>
        <v>150276.95727753034</v>
      </c>
      <c r="T7" s="5" t="str">
        <f t="shared" si="11"/>
        <v/>
      </c>
      <c r="U7" s="5">
        <f t="shared" si="12"/>
        <v>150276.95727753034</v>
      </c>
      <c r="V7" s="5">
        <f t="shared" si="13"/>
        <v>0</v>
      </c>
      <c r="W7" s="55">
        <f t="shared" si="14"/>
        <v>7.1029925888749609E-2</v>
      </c>
      <c r="X7" s="6">
        <f t="shared" si="15"/>
        <v>2274361.5040000002</v>
      </c>
      <c r="Y7" s="5">
        <f t="shared" si="16"/>
        <v>2265962.0772775305</v>
      </c>
      <c r="Z7" s="57">
        <f t="shared" si="17"/>
        <v>150276.95727753034</v>
      </c>
      <c r="AA7" s="5">
        <f t="shared" si="18"/>
        <v>0</v>
      </c>
      <c r="AB7" s="58">
        <f>SUM(F7*'Front page'!$H$11)+F7</f>
        <v>2157998.8223999999</v>
      </c>
      <c r="AC7" s="58">
        <f t="shared" si="19"/>
        <v>2265962.0772775305</v>
      </c>
      <c r="AD7" s="58">
        <f t="shared" si="20"/>
        <v>2265962.0772775305</v>
      </c>
      <c r="AE7" s="58">
        <f t="shared" si="21"/>
        <v>150276.95727753034</v>
      </c>
      <c r="AF7" s="56">
        <f t="shared" si="22"/>
        <v>7.1029925888749609E-2</v>
      </c>
      <c r="AG7" s="58">
        <f t="shared" si="23"/>
        <v>150276.95727753034</v>
      </c>
      <c r="AH7" s="56">
        <f t="shared" si="24"/>
        <v>7.1029925888749609E-2</v>
      </c>
    </row>
    <row r="8" spans="1:34">
      <c r="A8" t="str">
        <f t="shared" si="0"/>
        <v>021</v>
      </c>
      <c r="B8">
        <f t="shared" si="1"/>
        <v>21</v>
      </c>
      <c r="C8" s="15" t="s">
        <v>17</v>
      </c>
      <c r="D8" s="155">
        <v>7055941.7200000007</v>
      </c>
      <c r="E8" s="155">
        <v>666247.5</v>
      </c>
      <c r="F8" s="155">
        <f t="shared" si="2"/>
        <v>7722189.2200000007</v>
      </c>
      <c r="G8" s="238">
        <v>1228.5</v>
      </c>
      <c r="H8" s="239">
        <f t="shared" si="3"/>
        <v>6285.8683109483118</v>
      </c>
      <c r="I8" s="213">
        <f t="shared" si="4"/>
        <v>4.422586426377384E-3</v>
      </c>
      <c r="J8" s="5">
        <f>Calculations!AS8</f>
        <v>7242981.416285038</v>
      </c>
      <c r="K8" s="5">
        <f t="shared" si="5"/>
        <v>727506.95888249995</v>
      </c>
      <c r="L8" s="5">
        <f t="shared" si="6"/>
        <v>7970488.3751675375</v>
      </c>
      <c r="M8" s="146">
        <v>1228.5</v>
      </c>
      <c r="N8" s="58">
        <f t="shared" si="7"/>
        <v>6487.9840253704006</v>
      </c>
      <c r="O8" s="36">
        <f t="shared" si="8"/>
        <v>4.3435632086840578E-3</v>
      </c>
      <c r="P8" s="211">
        <f>SUM(H8*'Front page'!$H$10)+H8</f>
        <v>6757.3084342694347</v>
      </c>
      <c r="Q8" s="211">
        <f t="shared" si="9"/>
        <v>7970488.3751675375</v>
      </c>
      <c r="R8" s="218"/>
      <c r="S8" s="5">
        <f t="shared" si="10"/>
        <v>248299.15516753681</v>
      </c>
      <c r="T8" s="5" t="str">
        <f t="shared" si="11"/>
        <v/>
      </c>
      <c r="U8" s="5">
        <f t="shared" si="12"/>
        <v>248299.15516753681</v>
      </c>
      <c r="V8" s="5">
        <f t="shared" si="13"/>
        <v>0</v>
      </c>
      <c r="W8" s="55">
        <f t="shared" si="14"/>
        <v>3.2153984847257705E-2</v>
      </c>
      <c r="X8" s="6">
        <f t="shared" si="15"/>
        <v>8301353.4115000004</v>
      </c>
      <c r="Y8" s="5">
        <f t="shared" si="16"/>
        <v>7970488.3751675375</v>
      </c>
      <c r="Z8" s="57">
        <f t="shared" si="17"/>
        <v>248299.15516753681</v>
      </c>
      <c r="AA8" s="5">
        <f t="shared" si="18"/>
        <v>0</v>
      </c>
      <c r="AB8" s="58">
        <f>SUM(F8*'Front page'!$H$11)+F8</f>
        <v>7876633.0044000009</v>
      </c>
      <c r="AC8" s="58">
        <f t="shared" si="19"/>
        <v>7970488.3751675375</v>
      </c>
      <c r="AD8" s="58">
        <f t="shared" si="20"/>
        <v>7970488.3751675375</v>
      </c>
      <c r="AE8" s="58">
        <f t="shared" si="21"/>
        <v>248299.15516753681</v>
      </c>
      <c r="AF8" s="56">
        <f t="shared" si="22"/>
        <v>3.2153984847257705E-2</v>
      </c>
      <c r="AG8" s="58">
        <f t="shared" si="23"/>
        <v>248299.15516753681</v>
      </c>
      <c r="AH8" s="56">
        <f t="shared" si="24"/>
        <v>3.2153984847257705E-2</v>
      </c>
    </row>
    <row r="9" spans="1:34">
      <c r="A9" t="str">
        <f t="shared" si="0"/>
        <v>025</v>
      </c>
      <c r="B9">
        <f t="shared" si="1"/>
        <v>25</v>
      </c>
      <c r="C9" s="15" t="s">
        <v>18</v>
      </c>
      <c r="D9" s="155">
        <v>61179141.420000002</v>
      </c>
      <c r="E9" s="155">
        <v>4915185.1399999997</v>
      </c>
      <c r="F9" s="155">
        <f t="shared" si="2"/>
        <v>66094326.560000002</v>
      </c>
      <c r="G9" s="238">
        <v>11906</v>
      </c>
      <c r="H9" s="239">
        <f t="shared" si="3"/>
        <v>5551.346091046531</v>
      </c>
      <c r="I9" s="213">
        <f t="shared" si="4"/>
        <v>3.7852979663817433E-2</v>
      </c>
      <c r="J9" s="5">
        <f>Calculations!AS9</f>
        <v>65958684.70985952</v>
      </c>
      <c r="K9" s="5">
        <f t="shared" si="5"/>
        <v>5367121.6680675801</v>
      </c>
      <c r="L9" s="5">
        <f t="shared" si="6"/>
        <v>71325806.377927095</v>
      </c>
      <c r="M9" s="146">
        <v>11906</v>
      </c>
      <c r="N9" s="58">
        <f t="shared" si="7"/>
        <v>5990.7446982972533</v>
      </c>
      <c r="O9" s="36">
        <f t="shared" si="8"/>
        <v>3.8869405967407206E-2</v>
      </c>
      <c r="P9" s="211">
        <f>SUM(H9*'Front page'!$H$10)+H9</f>
        <v>5967.6970478750209</v>
      </c>
      <c r="Q9" s="211">
        <f t="shared" si="9"/>
        <v>71051401.052000001</v>
      </c>
      <c r="R9" s="218"/>
      <c r="S9" s="5">
        <f t="shared" si="10"/>
        <v>5231479.8179270923</v>
      </c>
      <c r="T9" s="5" t="str">
        <f t="shared" si="11"/>
        <v/>
      </c>
      <c r="U9" s="5">
        <f t="shared" si="12"/>
        <v>4957074.4919999987</v>
      </c>
      <c r="V9" s="5">
        <f t="shared" si="13"/>
        <v>-274405.32592709363</v>
      </c>
      <c r="W9" s="55">
        <f t="shared" si="14"/>
        <v>7.9151722851400694E-2</v>
      </c>
      <c r="X9" s="6">
        <f t="shared" si="15"/>
        <v>71051401.052000001</v>
      </c>
      <c r="Y9" s="5">
        <f t="shared" si="16"/>
        <v>71051401.052000001</v>
      </c>
      <c r="Z9" s="57">
        <f t="shared" si="17"/>
        <v>4957074.4919999987</v>
      </c>
      <c r="AA9" s="5">
        <f t="shared" si="18"/>
        <v>-274405.32592709363</v>
      </c>
      <c r="AB9" s="58">
        <f>SUM(F9*'Front page'!$H$11)+F9</f>
        <v>67416213.091200009</v>
      </c>
      <c r="AC9" s="58">
        <f t="shared" si="19"/>
        <v>71325806.377927095</v>
      </c>
      <c r="AD9" s="58">
        <f t="shared" si="20"/>
        <v>71051401.052000001</v>
      </c>
      <c r="AE9" s="58">
        <f t="shared" si="21"/>
        <v>5231479.8179270923</v>
      </c>
      <c r="AF9" s="56">
        <f t="shared" si="22"/>
        <v>7.9151722851400694E-2</v>
      </c>
      <c r="AG9" s="58">
        <f t="shared" si="23"/>
        <v>4957074.4919999987</v>
      </c>
      <c r="AH9" s="56">
        <f t="shared" si="24"/>
        <v>7.4999999999999983E-2</v>
      </c>
    </row>
    <row r="10" spans="1:34">
      <c r="A10" t="str">
        <f t="shared" si="0"/>
        <v>033</v>
      </c>
      <c r="B10">
        <f t="shared" si="1"/>
        <v>33</v>
      </c>
      <c r="C10" s="15" t="s">
        <v>19</v>
      </c>
      <c r="D10" s="155">
        <v>6316544.3899999997</v>
      </c>
      <c r="E10" s="155">
        <v>713086.2</v>
      </c>
      <c r="F10" s="155">
        <f t="shared" si="2"/>
        <v>7029630.5899999999</v>
      </c>
      <c r="G10" s="238">
        <v>1106</v>
      </c>
      <c r="H10" s="239">
        <f t="shared" si="3"/>
        <v>6355.9046925858947</v>
      </c>
      <c r="I10" s="213">
        <f t="shared" si="4"/>
        <v>4.0259501475646614E-3</v>
      </c>
      <c r="J10" s="5">
        <f>Calculations!AS10</f>
        <v>6422664.5797439795</v>
      </c>
      <c r="K10" s="5">
        <f t="shared" si="5"/>
        <v>778652.33683139994</v>
      </c>
      <c r="L10" s="5">
        <f t="shared" si="6"/>
        <v>7201316.9165753797</v>
      </c>
      <c r="M10" s="146">
        <v>1106</v>
      </c>
      <c r="N10" s="58">
        <f t="shared" si="7"/>
        <v>6511.1364525998006</v>
      </c>
      <c r="O10" s="36">
        <f t="shared" si="8"/>
        <v>3.9243988248403236E-3</v>
      </c>
      <c r="P10" s="211">
        <f>SUM(H10*'Front page'!$H$10)+H10</f>
        <v>6832.5975445298373</v>
      </c>
      <c r="Q10" s="211">
        <f t="shared" si="9"/>
        <v>7201316.9165753797</v>
      </c>
      <c r="R10" s="218"/>
      <c r="S10" s="5">
        <f t="shared" si="10"/>
        <v>171686.32657537982</v>
      </c>
      <c r="T10" s="5" t="str">
        <f t="shared" si="11"/>
        <v/>
      </c>
      <c r="U10" s="5">
        <f t="shared" si="12"/>
        <v>171686.32657537982</v>
      </c>
      <c r="V10" s="5">
        <f t="shared" si="13"/>
        <v>0</v>
      </c>
      <c r="W10" s="55">
        <f t="shared" si="14"/>
        <v>2.4423235954903831E-2</v>
      </c>
      <c r="X10" s="6">
        <f t="shared" si="15"/>
        <v>7556852.8842500001</v>
      </c>
      <c r="Y10" s="5">
        <f t="shared" si="16"/>
        <v>7201316.9165753797</v>
      </c>
      <c r="Z10" s="57">
        <f t="shared" si="17"/>
        <v>171686.32657537982</v>
      </c>
      <c r="AA10" s="5">
        <f t="shared" si="18"/>
        <v>0</v>
      </c>
      <c r="AB10" s="58">
        <f>SUM(F10*'Front page'!$H$11)+F10</f>
        <v>7170223.2017999999</v>
      </c>
      <c r="AC10" s="58">
        <f t="shared" si="19"/>
        <v>7201316.9165753797</v>
      </c>
      <c r="AD10" s="58">
        <f t="shared" si="20"/>
        <v>7201316.9165753797</v>
      </c>
      <c r="AE10" s="58">
        <f t="shared" si="21"/>
        <v>171686.32657537982</v>
      </c>
      <c r="AF10" s="56">
        <f t="shared" si="22"/>
        <v>2.4423235954903831E-2</v>
      </c>
      <c r="AG10" s="58">
        <f t="shared" si="23"/>
        <v>171686.32657537982</v>
      </c>
      <c r="AH10" s="56">
        <f t="shared" si="24"/>
        <v>2.4423235954903831E-2</v>
      </c>
    </row>
    <row r="11" spans="1:34">
      <c r="A11" t="str">
        <f t="shared" si="0"/>
        <v>041</v>
      </c>
      <c r="B11">
        <f t="shared" si="1"/>
        <v>41</v>
      </c>
      <c r="C11" s="15" t="s">
        <v>20</v>
      </c>
      <c r="D11" s="155">
        <v>5544302.1400000006</v>
      </c>
      <c r="E11" s="155">
        <v>806193.21000000008</v>
      </c>
      <c r="F11" s="155">
        <f t="shared" si="2"/>
        <v>6350495.3500000006</v>
      </c>
      <c r="G11" s="238">
        <v>949.5</v>
      </c>
      <c r="H11" s="239">
        <f t="shared" si="3"/>
        <v>6688.252080042128</v>
      </c>
      <c r="I11" s="213">
        <f t="shared" si="4"/>
        <v>3.637001598321712E-3</v>
      </c>
      <c r="J11" s="5">
        <f>Calculations!AS11</f>
        <v>5544385.8767569251</v>
      </c>
      <c r="K11" s="5">
        <f t="shared" si="5"/>
        <v>880320.25707987009</v>
      </c>
      <c r="L11" s="5">
        <f t="shared" si="6"/>
        <v>6424706.1338367956</v>
      </c>
      <c r="M11" s="146">
        <v>949.5</v>
      </c>
      <c r="N11" s="58">
        <f t="shared" si="7"/>
        <v>6766.4098302651873</v>
      </c>
      <c r="O11" s="36">
        <f t="shared" si="8"/>
        <v>3.5011803387711136E-3</v>
      </c>
      <c r="P11" s="211">
        <f>SUM(H11*'Front page'!$H$10)+H11</f>
        <v>7189.8709860452873</v>
      </c>
      <c r="Q11" s="211">
        <f t="shared" si="9"/>
        <v>6424706.1338367956</v>
      </c>
      <c r="R11" s="218"/>
      <c r="S11" s="5">
        <f t="shared" si="10"/>
        <v>74210.783836795017</v>
      </c>
      <c r="T11" s="5" t="str">
        <f t="shared" si="11"/>
        <v/>
      </c>
      <c r="U11" s="5">
        <f t="shared" si="12"/>
        <v>74210.783836795017</v>
      </c>
      <c r="V11" s="5">
        <f t="shared" si="13"/>
        <v>0</v>
      </c>
      <c r="W11" s="55">
        <f t="shared" si="14"/>
        <v>1.1685826025649323E-2</v>
      </c>
      <c r="X11" s="6">
        <f t="shared" si="15"/>
        <v>6826782.5012500007</v>
      </c>
      <c r="Y11" s="5">
        <f t="shared" si="16"/>
        <v>6424706.1338367956</v>
      </c>
      <c r="Z11" s="57">
        <f t="shared" si="17"/>
        <v>74210.783836795017</v>
      </c>
      <c r="AA11" s="5">
        <f t="shared" si="18"/>
        <v>0</v>
      </c>
      <c r="AB11" s="58">
        <f>SUM(F11*'Front page'!$H$11)+F11</f>
        <v>6477505.2570000002</v>
      </c>
      <c r="AC11" s="58">
        <f t="shared" si="19"/>
        <v>6477505.2570000002</v>
      </c>
      <c r="AD11" s="58">
        <f t="shared" si="20"/>
        <v>6477505.2570000002</v>
      </c>
      <c r="AE11" s="58">
        <f t="shared" si="21"/>
        <v>127009.90699999966</v>
      </c>
      <c r="AF11" s="56">
        <f t="shared" si="22"/>
        <v>1.9999999999999945E-2</v>
      </c>
      <c r="AG11" s="58">
        <f t="shared" si="23"/>
        <v>127009.90699999966</v>
      </c>
      <c r="AH11" s="56">
        <f t="shared" si="24"/>
        <v>1.9999999999999945E-2</v>
      </c>
    </row>
    <row r="12" spans="1:34">
      <c r="A12" t="str">
        <f t="shared" si="0"/>
        <v>044</v>
      </c>
      <c r="B12">
        <f t="shared" si="1"/>
        <v>44</v>
      </c>
      <c r="C12" s="15" t="s">
        <v>21</v>
      </c>
      <c r="D12" s="155">
        <v>2120997.17</v>
      </c>
      <c r="E12" s="155">
        <v>352427.98</v>
      </c>
      <c r="F12" s="155">
        <f t="shared" si="2"/>
        <v>2473425.15</v>
      </c>
      <c r="G12" s="238">
        <v>327</v>
      </c>
      <c r="H12" s="239">
        <f t="shared" si="3"/>
        <v>7563.9912844036699</v>
      </c>
      <c r="I12" s="213">
        <f t="shared" si="4"/>
        <v>1.4165589813209011E-3</v>
      </c>
      <c r="J12" s="5">
        <f>Calculations!AS12</f>
        <v>2533613.9712659772</v>
      </c>
      <c r="K12" s="5">
        <f t="shared" si="5"/>
        <v>384832.67547705997</v>
      </c>
      <c r="L12" s="5">
        <f t="shared" si="6"/>
        <v>2918446.6467430373</v>
      </c>
      <c r="M12" s="146">
        <v>327</v>
      </c>
      <c r="N12" s="58">
        <f t="shared" si="7"/>
        <v>8924.9132927921637</v>
      </c>
      <c r="O12" s="36">
        <f t="shared" si="8"/>
        <v>1.5904241853980448E-3</v>
      </c>
      <c r="P12" s="211">
        <f>SUM(H12*'Front page'!$H$10)+H12</f>
        <v>8131.2906307339454</v>
      </c>
      <c r="Q12" s="211">
        <f t="shared" si="9"/>
        <v>2658932.0362500004</v>
      </c>
      <c r="R12" s="218"/>
      <c r="S12" s="5">
        <f t="shared" si="10"/>
        <v>445021.49674303737</v>
      </c>
      <c r="T12" s="5" t="str">
        <f t="shared" si="11"/>
        <v/>
      </c>
      <c r="U12" s="5">
        <f t="shared" si="12"/>
        <v>185506.88625000045</v>
      </c>
      <c r="V12" s="5">
        <f t="shared" si="13"/>
        <v>-259514.61049303692</v>
      </c>
      <c r="W12" s="55">
        <f t="shared" si="14"/>
        <v>0.17992114972350684</v>
      </c>
      <c r="X12" s="6">
        <f t="shared" si="15"/>
        <v>2658932.0362499999</v>
      </c>
      <c r="Y12" s="5">
        <f t="shared" si="16"/>
        <v>2658932.0362499999</v>
      </c>
      <c r="Z12" s="57">
        <f t="shared" si="17"/>
        <v>185506.88624999998</v>
      </c>
      <c r="AA12" s="5">
        <f t="shared" si="18"/>
        <v>-259514.61049303738</v>
      </c>
      <c r="AB12" s="58">
        <f>SUM(F12*'Front page'!$H$11)+F12</f>
        <v>2522893.6529999999</v>
      </c>
      <c r="AC12" s="58">
        <f t="shared" si="19"/>
        <v>2918446.6467430373</v>
      </c>
      <c r="AD12" s="58">
        <f t="shared" si="20"/>
        <v>2658932.0362500004</v>
      </c>
      <c r="AE12" s="58">
        <f t="shared" si="21"/>
        <v>445021.49674303737</v>
      </c>
      <c r="AF12" s="56">
        <f t="shared" si="22"/>
        <v>0.17992114972350684</v>
      </c>
      <c r="AG12" s="58">
        <f t="shared" si="23"/>
        <v>185506.88625000045</v>
      </c>
      <c r="AH12" s="56">
        <f t="shared" si="24"/>
        <v>7.5000000000000178E-2</v>
      </c>
    </row>
    <row r="13" spans="1:34">
      <c r="A13" t="str">
        <f t="shared" si="0"/>
        <v>052</v>
      </c>
      <c r="B13">
        <f t="shared" si="1"/>
        <v>52</v>
      </c>
      <c r="C13" s="15" t="s">
        <v>22</v>
      </c>
      <c r="D13" s="155">
        <v>9204894.6300000008</v>
      </c>
      <c r="E13" s="155">
        <v>1332988.7000000002</v>
      </c>
      <c r="F13" s="155">
        <f t="shared" si="2"/>
        <v>10537883.330000002</v>
      </c>
      <c r="G13" s="238">
        <v>1701</v>
      </c>
      <c r="H13" s="239">
        <f t="shared" si="3"/>
        <v>6195.1107172251632</v>
      </c>
      <c r="I13" s="213">
        <f t="shared" si="4"/>
        <v>6.0351667707524157E-3</v>
      </c>
      <c r="J13" s="5">
        <f>Calculations!AS13</f>
        <v>9296490.053051509</v>
      </c>
      <c r="K13" s="5">
        <f t="shared" si="5"/>
        <v>1455553.0119989002</v>
      </c>
      <c r="L13" s="5">
        <f t="shared" si="6"/>
        <v>10752043.065050408</v>
      </c>
      <c r="M13" s="146">
        <v>1701</v>
      </c>
      <c r="N13" s="58">
        <f t="shared" si="7"/>
        <v>6321.0129718109392</v>
      </c>
      <c r="O13" s="36">
        <f t="shared" si="8"/>
        <v>5.8593873395565745E-3</v>
      </c>
      <c r="P13" s="211">
        <f>SUM(H13*'Front page'!$H$10)+H13</f>
        <v>6659.7440210170507</v>
      </c>
      <c r="Q13" s="211">
        <f t="shared" si="9"/>
        <v>10752043.065050408</v>
      </c>
      <c r="R13" s="218"/>
      <c r="S13" s="5">
        <f t="shared" si="10"/>
        <v>214159.73505040631</v>
      </c>
      <c r="T13" s="5" t="str">
        <f t="shared" si="11"/>
        <v/>
      </c>
      <c r="U13" s="5">
        <f t="shared" si="12"/>
        <v>214159.73505040631</v>
      </c>
      <c r="V13" s="5">
        <f t="shared" si="13"/>
        <v>0</v>
      </c>
      <c r="W13" s="55">
        <f t="shared" si="14"/>
        <v>2.0322841726736623E-2</v>
      </c>
      <c r="X13" s="6">
        <f t="shared" si="15"/>
        <v>11328224.579750001</v>
      </c>
      <c r="Y13" s="5">
        <f t="shared" si="16"/>
        <v>10752043.065050408</v>
      </c>
      <c r="Z13" s="57">
        <f t="shared" si="17"/>
        <v>214159.73505040631</v>
      </c>
      <c r="AA13" s="5">
        <f t="shared" si="18"/>
        <v>0</v>
      </c>
      <c r="AB13" s="58">
        <f>SUM(F13*'Front page'!$H$11)+F13</f>
        <v>10748640.996600002</v>
      </c>
      <c r="AC13" s="58">
        <f t="shared" si="19"/>
        <v>10752043.065050408</v>
      </c>
      <c r="AD13" s="58">
        <f t="shared" si="20"/>
        <v>10752043.065050408</v>
      </c>
      <c r="AE13" s="58">
        <f t="shared" si="21"/>
        <v>214159.73505040631</v>
      </c>
      <c r="AF13" s="56">
        <f t="shared" si="22"/>
        <v>2.0322841726736623E-2</v>
      </c>
      <c r="AG13" s="58">
        <f t="shared" si="23"/>
        <v>214159.73505040631</v>
      </c>
      <c r="AH13" s="56">
        <f t="shared" si="24"/>
        <v>2.0322841726736623E-2</v>
      </c>
    </row>
    <row r="14" spans="1:34">
      <c r="A14" t="str">
        <f t="shared" si="0"/>
        <v>055</v>
      </c>
      <c r="B14">
        <f t="shared" si="1"/>
        <v>55</v>
      </c>
      <c r="C14" s="15" t="s">
        <v>23</v>
      </c>
      <c r="D14" s="155">
        <v>19779597.309999999</v>
      </c>
      <c r="E14" s="155">
        <v>2368982.63</v>
      </c>
      <c r="F14" s="155">
        <f t="shared" si="2"/>
        <v>22148579.939999998</v>
      </c>
      <c r="G14" s="238">
        <v>3721.5</v>
      </c>
      <c r="H14" s="239">
        <f t="shared" si="3"/>
        <v>5951.5195324465931</v>
      </c>
      <c r="I14" s="213">
        <f t="shared" si="4"/>
        <v>1.2684746024156398E-2</v>
      </c>
      <c r="J14" s="5">
        <f>Calculations!AS14</f>
        <v>20630528.254392281</v>
      </c>
      <c r="K14" s="5">
        <f t="shared" si="5"/>
        <v>2586803.4758806098</v>
      </c>
      <c r="L14" s="5">
        <f t="shared" si="6"/>
        <v>23217331.730272889</v>
      </c>
      <c r="M14" s="146">
        <v>3721.5</v>
      </c>
      <c r="N14" s="58">
        <f t="shared" si="7"/>
        <v>6238.702601175034</v>
      </c>
      <c r="O14" s="36">
        <f t="shared" si="8"/>
        <v>1.2652417663843158E-2</v>
      </c>
      <c r="P14" s="211">
        <f>SUM(H14*'Front page'!$H$10)+H14</f>
        <v>6397.8834973800876</v>
      </c>
      <c r="Q14" s="211">
        <f t="shared" si="9"/>
        <v>23217331.730272889</v>
      </c>
      <c r="R14" s="218"/>
      <c r="S14" s="5">
        <f t="shared" si="10"/>
        <v>1068751.7902728915</v>
      </c>
      <c r="T14" s="5" t="str">
        <f t="shared" si="11"/>
        <v/>
      </c>
      <c r="U14" s="5">
        <f t="shared" si="12"/>
        <v>1068751.7902728915</v>
      </c>
      <c r="V14" s="5">
        <f t="shared" si="13"/>
        <v>0</v>
      </c>
      <c r="W14" s="55">
        <f t="shared" si="14"/>
        <v>4.8253738757433474E-2</v>
      </c>
      <c r="X14" s="6">
        <f t="shared" si="15"/>
        <v>23809723.435499996</v>
      </c>
      <c r="Y14" s="5">
        <f t="shared" si="16"/>
        <v>23217331.730272889</v>
      </c>
      <c r="Z14" s="57">
        <f t="shared" si="17"/>
        <v>1068751.7902728915</v>
      </c>
      <c r="AA14" s="5">
        <f t="shared" si="18"/>
        <v>0</v>
      </c>
      <c r="AB14" s="58">
        <f>SUM(F14*'Front page'!$H$11)+F14</f>
        <v>22591551.538799997</v>
      </c>
      <c r="AC14" s="58">
        <f t="shared" si="19"/>
        <v>23217331.730272889</v>
      </c>
      <c r="AD14" s="58">
        <f t="shared" si="20"/>
        <v>23217331.730272889</v>
      </c>
      <c r="AE14" s="58">
        <f t="shared" si="21"/>
        <v>1068751.7902728915</v>
      </c>
      <c r="AF14" s="56">
        <f t="shared" si="22"/>
        <v>4.8253738757433474E-2</v>
      </c>
      <c r="AG14" s="58">
        <f t="shared" si="23"/>
        <v>1068751.7902728915</v>
      </c>
      <c r="AH14" s="56">
        <f t="shared" si="24"/>
        <v>4.8253738757433474E-2</v>
      </c>
    </row>
    <row r="15" spans="1:34">
      <c r="A15" t="str">
        <f t="shared" si="0"/>
        <v>058</v>
      </c>
      <c r="B15">
        <f t="shared" si="1"/>
        <v>58</v>
      </c>
      <c r="C15" s="15" t="s">
        <v>24</v>
      </c>
      <c r="D15" s="155">
        <v>4271323.8900000006</v>
      </c>
      <c r="E15" s="155">
        <v>959633.03999999992</v>
      </c>
      <c r="F15" s="155">
        <f t="shared" si="2"/>
        <v>5230956.9300000006</v>
      </c>
      <c r="G15" s="238">
        <v>692</v>
      </c>
      <c r="H15" s="239">
        <f t="shared" si="3"/>
        <v>7559.1863150289028</v>
      </c>
      <c r="I15" s="213">
        <f t="shared" si="4"/>
        <v>2.9958290915309523E-3</v>
      </c>
      <c r="J15" s="5">
        <f>Calculations!AS15</f>
        <v>4659192.7771416865</v>
      </c>
      <c r="K15" s="5">
        <f t="shared" si="5"/>
        <v>1047868.4191288799</v>
      </c>
      <c r="L15" s="5">
        <f t="shared" si="6"/>
        <v>5707061.1962705664</v>
      </c>
      <c r="M15" s="146">
        <v>692</v>
      </c>
      <c r="N15" s="58">
        <f t="shared" si="7"/>
        <v>8247.1982605065987</v>
      </c>
      <c r="O15" s="36">
        <f t="shared" si="8"/>
        <v>3.1100956271463355E-3</v>
      </c>
      <c r="P15" s="211">
        <f>SUM(H15*'Front page'!$H$10)+H15</f>
        <v>8126.1252886560706</v>
      </c>
      <c r="Q15" s="211">
        <f t="shared" si="9"/>
        <v>5623278.6997500006</v>
      </c>
      <c r="R15" s="218"/>
      <c r="S15" s="5">
        <f t="shared" si="10"/>
        <v>476104.2662705658</v>
      </c>
      <c r="T15" s="5" t="str">
        <f t="shared" si="11"/>
        <v/>
      </c>
      <c r="U15" s="5">
        <f t="shared" si="12"/>
        <v>392321.76974999998</v>
      </c>
      <c r="V15" s="5">
        <f t="shared" si="13"/>
        <v>-83782.496520565823</v>
      </c>
      <c r="W15" s="55">
        <f t="shared" si="14"/>
        <v>9.1016667244967306E-2</v>
      </c>
      <c r="X15" s="6">
        <f t="shared" si="15"/>
        <v>5623278.6997500006</v>
      </c>
      <c r="Y15" s="5">
        <f t="shared" si="16"/>
        <v>5623278.6997500006</v>
      </c>
      <c r="Z15" s="57">
        <f t="shared" si="17"/>
        <v>392321.76974999998</v>
      </c>
      <c r="AA15" s="5">
        <f t="shared" si="18"/>
        <v>-83782.496520565823</v>
      </c>
      <c r="AB15" s="58">
        <f>SUM(F15*'Front page'!$H$11)+F15</f>
        <v>5335576.0686000008</v>
      </c>
      <c r="AC15" s="58">
        <f t="shared" si="19"/>
        <v>5707061.1962705664</v>
      </c>
      <c r="AD15" s="58">
        <f t="shared" si="20"/>
        <v>5623278.6997500006</v>
      </c>
      <c r="AE15" s="58">
        <f t="shared" si="21"/>
        <v>476104.2662705658</v>
      </c>
      <c r="AF15" s="56">
        <f t="shared" si="22"/>
        <v>9.1016667244967306E-2</v>
      </c>
      <c r="AG15" s="58">
        <f t="shared" si="23"/>
        <v>392321.76974999998</v>
      </c>
      <c r="AH15" s="56">
        <f t="shared" si="24"/>
        <v>7.4999999999999983E-2</v>
      </c>
    </row>
    <row r="16" spans="1:34">
      <c r="A16" t="str">
        <f t="shared" si="0"/>
        <v>059</v>
      </c>
      <c r="B16">
        <f t="shared" si="1"/>
        <v>59</v>
      </c>
      <c r="C16" s="15" t="s">
        <v>25</v>
      </c>
      <c r="D16" s="155">
        <v>4524876.33</v>
      </c>
      <c r="E16" s="155">
        <v>401007.35000000003</v>
      </c>
      <c r="F16" s="155">
        <f t="shared" si="2"/>
        <v>4925883.68</v>
      </c>
      <c r="G16" s="238">
        <v>773.5</v>
      </c>
      <c r="H16" s="239">
        <f t="shared" si="3"/>
        <v>6368.3046929541042</v>
      </c>
      <c r="I16" s="213">
        <f t="shared" si="4"/>
        <v>2.8211101386456153E-3</v>
      </c>
      <c r="J16" s="5">
        <f>Calculations!AS16</f>
        <v>5029926.5934803737</v>
      </c>
      <c r="K16" s="5">
        <f t="shared" si="5"/>
        <v>437878.77281045006</v>
      </c>
      <c r="L16" s="5">
        <f t="shared" si="6"/>
        <v>5467805.3662908236</v>
      </c>
      <c r="M16" s="146">
        <v>773.5</v>
      </c>
      <c r="N16" s="58">
        <f t="shared" si="7"/>
        <v>7068.9145006991903</v>
      </c>
      <c r="O16" s="36">
        <f t="shared" si="8"/>
        <v>2.9797117947326368E-3</v>
      </c>
      <c r="P16" s="211">
        <f>SUM(H16*'Front page'!$H$10)+H16</f>
        <v>6845.927544925662</v>
      </c>
      <c r="Q16" s="211">
        <f t="shared" si="9"/>
        <v>5295324.9559999993</v>
      </c>
      <c r="R16" s="218"/>
      <c r="S16" s="5">
        <f t="shared" si="10"/>
        <v>541921.68629082385</v>
      </c>
      <c r="T16" s="5" t="str">
        <f t="shared" si="11"/>
        <v/>
      </c>
      <c r="U16" s="5">
        <f t="shared" si="12"/>
        <v>369441.27599999961</v>
      </c>
      <c r="V16" s="5">
        <f t="shared" si="13"/>
        <v>-172480.41029082425</v>
      </c>
      <c r="W16" s="55">
        <f t="shared" si="14"/>
        <v>0.11001512043232492</v>
      </c>
      <c r="X16" s="6">
        <f t="shared" si="15"/>
        <v>5295324.9559999993</v>
      </c>
      <c r="Y16" s="5">
        <f t="shared" si="16"/>
        <v>5295324.9559999993</v>
      </c>
      <c r="Z16" s="57">
        <f t="shared" si="17"/>
        <v>369441.27599999961</v>
      </c>
      <c r="AA16" s="5">
        <f t="shared" si="18"/>
        <v>-172480.41029082425</v>
      </c>
      <c r="AB16" s="58">
        <f>SUM(F16*'Front page'!$H$11)+F16</f>
        <v>5024401.3536</v>
      </c>
      <c r="AC16" s="58">
        <f t="shared" si="19"/>
        <v>5467805.3662908236</v>
      </c>
      <c r="AD16" s="58">
        <f t="shared" si="20"/>
        <v>5295324.9559999993</v>
      </c>
      <c r="AE16" s="58">
        <f t="shared" si="21"/>
        <v>541921.68629082385</v>
      </c>
      <c r="AF16" s="56">
        <f t="shared" si="22"/>
        <v>0.11001512043232492</v>
      </c>
      <c r="AG16" s="58">
        <f t="shared" si="23"/>
        <v>369441.27599999961</v>
      </c>
      <c r="AH16" s="56">
        <f t="shared" si="24"/>
        <v>7.4999999999999928E-2</v>
      </c>
    </row>
    <row r="17" spans="1:34">
      <c r="A17" t="str">
        <f t="shared" si="0"/>
        <v>060</v>
      </c>
      <c r="B17">
        <f t="shared" si="1"/>
        <v>60</v>
      </c>
      <c r="C17" s="15" t="s">
        <v>26</v>
      </c>
      <c r="D17" s="155">
        <v>11202148.25</v>
      </c>
      <c r="E17" s="155">
        <v>1195484.1400000001</v>
      </c>
      <c r="F17" s="155">
        <f t="shared" si="2"/>
        <v>12397632.390000001</v>
      </c>
      <c r="G17" s="238">
        <v>2231.5</v>
      </c>
      <c r="H17" s="239">
        <f t="shared" si="3"/>
        <v>5555.7393636567331</v>
      </c>
      <c r="I17" s="213">
        <f t="shared" si="4"/>
        <v>7.1002664095856753E-3</v>
      </c>
      <c r="J17" s="5">
        <f>Calculations!AS17</f>
        <v>12165023.085640484</v>
      </c>
      <c r="K17" s="5">
        <f t="shared" si="5"/>
        <v>1305405.3202205801</v>
      </c>
      <c r="L17" s="5">
        <f t="shared" si="6"/>
        <v>13470428.405861065</v>
      </c>
      <c r="M17" s="146">
        <v>2231.5</v>
      </c>
      <c r="N17" s="58">
        <f t="shared" si="7"/>
        <v>6036.4904350710576</v>
      </c>
      <c r="O17" s="36">
        <f t="shared" si="8"/>
        <v>7.3407869725022855E-3</v>
      </c>
      <c r="P17" s="211">
        <f>SUM(H17*'Front page'!$H$10)+H17</f>
        <v>5972.4198159309881</v>
      </c>
      <c r="Q17" s="211">
        <f t="shared" si="9"/>
        <v>13327454.819250001</v>
      </c>
      <c r="R17" s="218"/>
      <c r="S17" s="5">
        <f t="shared" si="10"/>
        <v>1072796.0158610642</v>
      </c>
      <c r="T17" s="5" t="str">
        <f t="shared" si="11"/>
        <v/>
      </c>
      <c r="U17" s="5">
        <f t="shared" si="12"/>
        <v>929822.42925000004</v>
      </c>
      <c r="V17" s="5">
        <f t="shared" si="13"/>
        <v>-142973.58661106415</v>
      </c>
      <c r="W17" s="55">
        <f t="shared" si="14"/>
        <v>8.6532329892793677E-2</v>
      </c>
      <c r="X17" s="6">
        <f t="shared" si="15"/>
        <v>13327454.819250001</v>
      </c>
      <c r="Y17" s="5">
        <f t="shared" si="16"/>
        <v>13327454.819250001</v>
      </c>
      <c r="Z17" s="57">
        <f t="shared" si="17"/>
        <v>929822.42925000004</v>
      </c>
      <c r="AA17" s="5">
        <f t="shared" si="18"/>
        <v>-142973.58661106415</v>
      </c>
      <c r="AB17" s="58">
        <f>SUM(F17*'Front page'!$H$11)+F17</f>
        <v>12645585.037800001</v>
      </c>
      <c r="AC17" s="58">
        <f t="shared" si="19"/>
        <v>13470428.405861065</v>
      </c>
      <c r="AD17" s="58">
        <f t="shared" si="20"/>
        <v>13327454.819250001</v>
      </c>
      <c r="AE17" s="58">
        <f t="shared" si="21"/>
        <v>1072796.0158610642</v>
      </c>
      <c r="AF17" s="56">
        <f t="shared" si="22"/>
        <v>8.6532329892793677E-2</v>
      </c>
      <c r="AG17" s="58">
        <f t="shared" si="23"/>
        <v>929822.42925000004</v>
      </c>
      <c r="AH17" s="56">
        <f t="shared" si="24"/>
        <v>7.4999999999999997E-2</v>
      </c>
    </row>
    <row r="18" spans="1:34">
      <c r="A18" t="str">
        <f t="shared" si="0"/>
        <v>061</v>
      </c>
      <c r="B18">
        <f t="shared" si="1"/>
        <v>61</v>
      </c>
      <c r="C18" s="15" t="s">
        <v>27</v>
      </c>
      <c r="D18" s="155">
        <v>17385903</v>
      </c>
      <c r="E18" s="155">
        <v>2131568</v>
      </c>
      <c r="F18" s="155">
        <f t="shared" si="2"/>
        <v>19517471</v>
      </c>
      <c r="G18" s="238">
        <v>3249</v>
      </c>
      <c r="H18" s="239">
        <f t="shared" si="3"/>
        <v>6007.2240689442906</v>
      </c>
      <c r="I18" s="213">
        <f t="shared" si="4"/>
        <v>1.1177879725901643E-2</v>
      </c>
      <c r="J18" s="5">
        <f>Calculations!AS18</f>
        <v>16820250.261131749</v>
      </c>
      <c r="K18" s="5">
        <f t="shared" si="5"/>
        <v>2327559.282896</v>
      </c>
      <c r="L18" s="5">
        <f t="shared" si="6"/>
        <v>19147809.544027749</v>
      </c>
      <c r="M18" s="146">
        <v>3249</v>
      </c>
      <c r="N18" s="58">
        <f t="shared" si="7"/>
        <v>5893.447074185211</v>
      </c>
      <c r="O18" s="36">
        <f t="shared" si="8"/>
        <v>1.0434708282298975E-2</v>
      </c>
      <c r="P18" s="211">
        <f>SUM(H18*'Front page'!$H$10)+H18</f>
        <v>6457.7658741151126</v>
      </c>
      <c r="Q18" s="211">
        <f t="shared" si="9"/>
        <v>19147809.544027749</v>
      </c>
      <c r="R18" s="218"/>
      <c r="S18" s="5">
        <f t="shared" si="10"/>
        <v>-369661.45597225055</v>
      </c>
      <c r="T18" s="5">
        <f t="shared" si="11"/>
        <v>-369661.45597225055</v>
      </c>
      <c r="U18" s="5">
        <f t="shared" si="12"/>
        <v>-369661.45597225055</v>
      </c>
      <c r="V18" s="5">
        <f t="shared" si="13"/>
        <v>0</v>
      </c>
      <c r="W18" s="55">
        <f t="shared" si="14"/>
        <v>-1.8940028447960833E-2</v>
      </c>
      <c r="X18" s="6">
        <f t="shared" si="15"/>
        <v>20981281.324999999</v>
      </c>
      <c r="Y18" s="5">
        <f t="shared" si="16"/>
        <v>19147809.544027749</v>
      </c>
      <c r="Z18" s="57">
        <f t="shared" si="17"/>
        <v>-369661.45597225055</v>
      </c>
      <c r="AA18" s="5">
        <f t="shared" si="18"/>
        <v>0</v>
      </c>
      <c r="AB18" s="58">
        <f>SUM(F18*'Front page'!$H$11)+F18</f>
        <v>19907820.420000002</v>
      </c>
      <c r="AC18" s="58">
        <f t="shared" si="19"/>
        <v>19907820.420000002</v>
      </c>
      <c r="AD18" s="58">
        <f t="shared" si="20"/>
        <v>19907820.420000002</v>
      </c>
      <c r="AE18" s="58">
        <f t="shared" si="21"/>
        <v>390349.42000000179</v>
      </c>
      <c r="AF18" s="56">
        <f t="shared" si="22"/>
        <v>2.0000000000000091E-2</v>
      </c>
      <c r="AG18" s="58">
        <f t="shared" si="23"/>
        <v>390349.42000000179</v>
      </c>
      <c r="AH18" s="56">
        <f t="shared" si="24"/>
        <v>2.0000000000000091E-2</v>
      </c>
    </row>
    <row r="19" spans="1:34">
      <c r="A19" t="str">
        <f t="shared" si="0"/>
        <v>071</v>
      </c>
      <c r="B19">
        <f t="shared" si="1"/>
        <v>71</v>
      </c>
      <c r="C19" s="15" t="s">
        <v>28</v>
      </c>
      <c r="D19" s="155">
        <v>1942524.48</v>
      </c>
      <c r="E19" s="155">
        <v>246426.4</v>
      </c>
      <c r="F19" s="155">
        <f t="shared" si="2"/>
        <v>2188950.88</v>
      </c>
      <c r="G19" s="238">
        <v>242</v>
      </c>
      <c r="H19" s="239">
        <f t="shared" si="3"/>
        <v>9045.2515702479341</v>
      </c>
      <c r="I19" s="213">
        <f t="shared" si="4"/>
        <v>1.2536373007827992E-3</v>
      </c>
      <c r="J19" s="5">
        <f>Calculations!AS19</f>
        <v>1913604.4248118636</v>
      </c>
      <c r="K19" s="5">
        <f t="shared" si="5"/>
        <v>269084.56820079999</v>
      </c>
      <c r="L19" s="5">
        <f t="shared" si="6"/>
        <v>2182688.9930126634</v>
      </c>
      <c r="M19" s="146">
        <v>242</v>
      </c>
      <c r="N19" s="58">
        <f t="shared" si="7"/>
        <v>9019.3760041845599</v>
      </c>
      <c r="O19" s="36">
        <f t="shared" si="8"/>
        <v>1.18946884554614E-3</v>
      </c>
      <c r="P19" s="211">
        <f>SUM(H19*'Front page'!$H$10)+H19</f>
        <v>9723.6454380165287</v>
      </c>
      <c r="Q19" s="211">
        <f t="shared" si="9"/>
        <v>2182688.9930126634</v>
      </c>
      <c r="R19" s="218"/>
      <c r="S19" s="5">
        <f t="shared" si="10"/>
        <v>-6261.8869873364456</v>
      </c>
      <c r="T19" s="5">
        <f t="shared" si="11"/>
        <v>-6261.8869873364456</v>
      </c>
      <c r="U19" s="5">
        <f t="shared" si="12"/>
        <v>-6261.8869873364456</v>
      </c>
      <c r="V19" s="5">
        <f t="shared" si="13"/>
        <v>0</v>
      </c>
      <c r="W19" s="55">
        <f t="shared" si="14"/>
        <v>-2.8606795358224056E-3</v>
      </c>
      <c r="X19" s="6">
        <f t="shared" si="15"/>
        <v>2353122.196</v>
      </c>
      <c r="Y19" s="5">
        <f t="shared" si="16"/>
        <v>2182688.9930126634</v>
      </c>
      <c r="Z19" s="57">
        <f t="shared" si="17"/>
        <v>-6261.8869873364456</v>
      </c>
      <c r="AA19" s="5">
        <f t="shared" si="18"/>
        <v>0</v>
      </c>
      <c r="AB19" s="58">
        <f>SUM(F19*'Front page'!$H$11)+F19</f>
        <v>2232729.8975999998</v>
      </c>
      <c r="AC19" s="58">
        <f t="shared" si="19"/>
        <v>2232729.8975999998</v>
      </c>
      <c r="AD19" s="58">
        <f t="shared" si="20"/>
        <v>2232729.8975999998</v>
      </c>
      <c r="AE19" s="58">
        <f t="shared" si="21"/>
        <v>43779.017599999905</v>
      </c>
      <c r="AF19" s="56">
        <f t="shared" si="22"/>
        <v>1.9999999999999959E-2</v>
      </c>
      <c r="AG19" s="58">
        <f t="shared" si="23"/>
        <v>43779.017599999905</v>
      </c>
      <c r="AH19" s="56">
        <f t="shared" si="24"/>
        <v>1.9999999999999959E-2</v>
      </c>
    </row>
    <row r="20" spans="1:34">
      <c r="A20" t="str">
        <f t="shared" si="0"/>
        <v>072</v>
      </c>
      <c r="B20">
        <f t="shared" si="1"/>
        <v>72</v>
      </c>
      <c r="C20" s="15" t="s">
        <v>29</v>
      </c>
      <c r="D20" s="155">
        <v>2372334.13</v>
      </c>
      <c r="E20" s="155">
        <v>292683.87</v>
      </c>
      <c r="F20" s="155">
        <f t="shared" si="2"/>
        <v>2665018</v>
      </c>
      <c r="G20" s="238">
        <v>338.5</v>
      </c>
      <c r="H20" s="239">
        <f t="shared" si="3"/>
        <v>7873.0221565731163</v>
      </c>
      <c r="I20" s="213">
        <f t="shared" si="4"/>
        <v>1.5262864062338274E-3</v>
      </c>
      <c r="J20" s="5">
        <f>Calculations!AS20</f>
        <v>2442549.354918228</v>
      </c>
      <c r="K20" s="5">
        <f t="shared" si="5"/>
        <v>319595.27379488997</v>
      </c>
      <c r="L20" s="5">
        <f t="shared" si="6"/>
        <v>2762144.6287131179</v>
      </c>
      <c r="M20" s="146">
        <v>338.5</v>
      </c>
      <c r="N20" s="58">
        <f t="shared" si="7"/>
        <v>8159.9545899944396</v>
      </c>
      <c r="O20" s="36">
        <f t="shared" si="8"/>
        <v>1.5052465070674419E-3</v>
      </c>
      <c r="P20" s="211">
        <f>SUM(H20*'Front page'!$H$10)+H20</f>
        <v>8463.4988183161004</v>
      </c>
      <c r="Q20" s="211">
        <f t="shared" si="9"/>
        <v>2762144.6287131179</v>
      </c>
      <c r="R20" s="218"/>
      <c r="S20" s="5">
        <f t="shared" si="10"/>
        <v>97126.628713117912</v>
      </c>
      <c r="T20" s="5" t="str">
        <f t="shared" si="11"/>
        <v/>
      </c>
      <c r="U20" s="5">
        <f t="shared" si="12"/>
        <v>97126.628713117912</v>
      </c>
      <c r="V20" s="5">
        <f t="shared" si="13"/>
        <v>0</v>
      </c>
      <c r="W20" s="55">
        <f t="shared" si="14"/>
        <v>3.6445017899735727E-2</v>
      </c>
      <c r="X20" s="6">
        <f t="shared" si="15"/>
        <v>2864894.35</v>
      </c>
      <c r="Y20" s="5">
        <f t="shared" si="16"/>
        <v>2762144.6287131179</v>
      </c>
      <c r="Z20" s="57">
        <f t="shared" si="17"/>
        <v>97126.628713117912</v>
      </c>
      <c r="AA20" s="5">
        <f t="shared" si="18"/>
        <v>0</v>
      </c>
      <c r="AB20" s="58">
        <f>SUM(F20*'Front page'!$H$11)+F20</f>
        <v>2718318.36</v>
      </c>
      <c r="AC20" s="58">
        <f t="shared" si="19"/>
        <v>2762144.6287131179</v>
      </c>
      <c r="AD20" s="58">
        <f t="shared" si="20"/>
        <v>2762144.6287131179</v>
      </c>
      <c r="AE20" s="58">
        <f t="shared" si="21"/>
        <v>97126.628713117912</v>
      </c>
      <c r="AF20" s="56">
        <f t="shared" si="22"/>
        <v>3.6445017899735727E-2</v>
      </c>
      <c r="AG20" s="58">
        <f t="shared" si="23"/>
        <v>97126.628713117912</v>
      </c>
      <c r="AH20" s="56">
        <f t="shared" si="24"/>
        <v>3.6445017899735727E-2</v>
      </c>
    </row>
    <row r="21" spans="1:34">
      <c r="A21" t="str">
        <f t="shared" si="0"/>
        <v>073</v>
      </c>
      <c r="B21">
        <f t="shared" si="1"/>
        <v>73</v>
      </c>
      <c r="C21" s="15" t="s">
        <v>30</v>
      </c>
      <c r="D21" s="155">
        <v>1780701.61</v>
      </c>
      <c r="E21" s="155">
        <v>209237.87</v>
      </c>
      <c r="F21" s="155">
        <f t="shared" si="2"/>
        <v>1989939.48</v>
      </c>
      <c r="G21" s="238">
        <v>212.5</v>
      </c>
      <c r="H21" s="239">
        <f t="shared" si="3"/>
        <v>9364.4210823529411</v>
      </c>
      <c r="I21" s="213">
        <f t="shared" si="4"/>
        <v>1.1396611871109356E-3</v>
      </c>
      <c r="J21" s="5">
        <f>Calculations!AS21</f>
        <v>1843999.0421481561</v>
      </c>
      <c r="K21" s="5">
        <f t="shared" si="5"/>
        <v>228476.66443288999</v>
      </c>
      <c r="L21" s="5">
        <f t="shared" si="6"/>
        <v>2072475.7065810461</v>
      </c>
      <c r="M21" s="146">
        <v>212.5</v>
      </c>
      <c r="N21" s="58">
        <f t="shared" si="7"/>
        <v>9752.8268544990406</v>
      </c>
      <c r="O21" s="36">
        <f t="shared" si="8"/>
        <v>1.1294074849971425E-3</v>
      </c>
      <c r="P21" s="211">
        <f>SUM(H21*'Front page'!$H$10)+H21</f>
        <v>10066.752663529413</v>
      </c>
      <c r="Q21" s="211">
        <f t="shared" si="9"/>
        <v>2072475.7065810461</v>
      </c>
      <c r="R21" s="218"/>
      <c r="S21" s="5">
        <f t="shared" si="10"/>
        <v>82536.226581046125</v>
      </c>
      <c r="T21" s="5" t="str">
        <f t="shared" si="11"/>
        <v/>
      </c>
      <c r="U21" s="5">
        <f t="shared" si="12"/>
        <v>82536.226581046125</v>
      </c>
      <c r="V21" s="5">
        <f t="shared" si="13"/>
        <v>0</v>
      </c>
      <c r="W21" s="55">
        <f t="shared" si="14"/>
        <v>4.1476752137731408E-2</v>
      </c>
      <c r="X21" s="6">
        <f t="shared" si="15"/>
        <v>2139184.9410000001</v>
      </c>
      <c r="Y21" s="5">
        <f t="shared" si="16"/>
        <v>2072475.7065810461</v>
      </c>
      <c r="Z21" s="57">
        <f t="shared" si="17"/>
        <v>82536.226581046125</v>
      </c>
      <c r="AA21" s="5">
        <f t="shared" si="18"/>
        <v>0</v>
      </c>
      <c r="AB21" s="58">
        <f>SUM(F21*'Front page'!$H$11)+F21</f>
        <v>2029738.2696</v>
      </c>
      <c r="AC21" s="58">
        <f t="shared" si="19"/>
        <v>2072475.7065810461</v>
      </c>
      <c r="AD21" s="58">
        <f t="shared" si="20"/>
        <v>2072475.7065810461</v>
      </c>
      <c r="AE21" s="58">
        <f t="shared" si="21"/>
        <v>82536.226581046125</v>
      </c>
      <c r="AF21" s="56">
        <f t="shared" si="22"/>
        <v>4.1476752137731408E-2</v>
      </c>
      <c r="AG21" s="58">
        <f t="shared" si="23"/>
        <v>82536.226581046125</v>
      </c>
      <c r="AH21" s="56">
        <f t="shared" si="24"/>
        <v>4.1476752137731408E-2</v>
      </c>
    </row>
    <row r="22" spans="1:34">
      <c r="A22" t="str">
        <f t="shared" si="0"/>
        <v>083</v>
      </c>
      <c r="B22">
        <f t="shared" si="1"/>
        <v>83</v>
      </c>
      <c r="C22" s="15" t="s">
        <v>31</v>
      </c>
      <c r="D22" s="155">
        <v>6027798.5800000001</v>
      </c>
      <c r="E22" s="155">
        <v>733861.17</v>
      </c>
      <c r="F22" s="155">
        <f t="shared" si="2"/>
        <v>6761659.75</v>
      </c>
      <c r="G22" s="238">
        <v>1048</v>
      </c>
      <c r="H22" s="239">
        <f t="shared" si="3"/>
        <v>6451.9654103053435</v>
      </c>
      <c r="I22" s="213">
        <f t="shared" si="4"/>
        <v>3.8724801708669211E-3</v>
      </c>
      <c r="J22" s="5">
        <f>Calculations!AS22</f>
        <v>5643324.0958552053</v>
      </c>
      <c r="K22" s="5">
        <f t="shared" si="5"/>
        <v>801337.50299799</v>
      </c>
      <c r="L22" s="5">
        <f t="shared" si="6"/>
        <v>6444661.5988531951</v>
      </c>
      <c r="M22" s="146">
        <v>1048</v>
      </c>
      <c r="N22" s="58">
        <f t="shared" si="7"/>
        <v>6149.486258447705</v>
      </c>
      <c r="O22" s="36">
        <f t="shared" si="8"/>
        <v>3.5120551835205851E-3</v>
      </c>
      <c r="P22" s="211">
        <f>SUM(H22*'Front page'!$H$10)+H22</f>
        <v>6935.8628160782446</v>
      </c>
      <c r="Q22" s="211">
        <f t="shared" si="9"/>
        <v>6444661.5988531951</v>
      </c>
      <c r="R22" s="218"/>
      <c r="S22" s="5">
        <f t="shared" si="10"/>
        <v>-316998.15114680491</v>
      </c>
      <c r="T22" s="5">
        <f t="shared" si="11"/>
        <v>-316998.15114680491</v>
      </c>
      <c r="U22" s="5">
        <f t="shared" si="12"/>
        <v>-316998.15114680491</v>
      </c>
      <c r="V22" s="5">
        <f t="shared" si="13"/>
        <v>0</v>
      </c>
      <c r="W22" s="55">
        <f t="shared" si="14"/>
        <v>-4.6881706987223798E-2</v>
      </c>
      <c r="X22" s="6">
        <f t="shared" si="15"/>
        <v>7268784.2312500002</v>
      </c>
      <c r="Y22" s="5">
        <f t="shared" si="16"/>
        <v>6444661.5988531951</v>
      </c>
      <c r="Z22" s="57">
        <f t="shared" si="17"/>
        <v>-316998.15114680491</v>
      </c>
      <c r="AA22" s="5">
        <f t="shared" si="18"/>
        <v>0</v>
      </c>
      <c r="AB22" s="58">
        <f>SUM(F22*'Front page'!$H$11)+F22</f>
        <v>6896892.9450000003</v>
      </c>
      <c r="AC22" s="58">
        <f t="shared" si="19"/>
        <v>6896892.9450000003</v>
      </c>
      <c r="AD22" s="58">
        <f t="shared" si="20"/>
        <v>6896892.9450000003</v>
      </c>
      <c r="AE22" s="58">
        <f t="shared" si="21"/>
        <v>135233.1950000003</v>
      </c>
      <c r="AF22" s="56">
        <f t="shared" si="22"/>
        <v>2.0000000000000046E-2</v>
      </c>
      <c r="AG22" s="58">
        <f t="shared" si="23"/>
        <v>135233.1950000003</v>
      </c>
      <c r="AH22" s="56">
        <f t="shared" si="24"/>
        <v>2.0000000000000046E-2</v>
      </c>
    </row>
    <row r="23" spans="1:34">
      <c r="A23" t="str">
        <f t="shared" si="0"/>
        <v>084</v>
      </c>
      <c r="B23">
        <f t="shared" si="1"/>
        <v>84</v>
      </c>
      <c r="C23" s="15" t="s">
        <v>32</v>
      </c>
      <c r="D23" s="155">
        <v>18830959</v>
      </c>
      <c r="E23" s="155">
        <v>2435814</v>
      </c>
      <c r="F23" s="155">
        <f t="shared" si="2"/>
        <v>21266773</v>
      </c>
      <c r="G23" s="238">
        <v>3545.5</v>
      </c>
      <c r="H23" s="239">
        <f t="shared" si="3"/>
        <v>5998.2436891834723</v>
      </c>
      <c r="I23" s="213">
        <f t="shared" si="4"/>
        <v>1.217972506540691E-2</v>
      </c>
      <c r="J23" s="5">
        <f>Calculations!AS23</f>
        <v>19146389.140504848</v>
      </c>
      <c r="K23" s="5">
        <f t="shared" si="5"/>
        <v>2659779.7898579999</v>
      </c>
      <c r="L23" s="5">
        <f t="shared" si="6"/>
        <v>21806168.930362847</v>
      </c>
      <c r="M23" s="146">
        <v>3545.5</v>
      </c>
      <c r="N23" s="58">
        <f t="shared" si="7"/>
        <v>6150.3790524221822</v>
      </c>
      <c r="O23" s="36">
        <f t="shared" si="8"/>
        <v>1.1883396428174646E-2</v>
      </c>
      <c r="P23" s="211">
        <f>SUM(H23*'Front page'!$H$10)+H23</f>
        <v>6448.1119658722328</v>
      </c>
      <c r="Q23" s="211">
        <f t="shared" si="9"/>
        <v>21806168.930362847</v>
      </c>
      <c r="R23" s="218"/>
      <c r="S23" s="5">
        <f t="shared" si="10"/>
        <v>539395.9303628467</v>
      </c>
      <c r="T23" s="5" t="str">
        <f t="shared" si="11"/>
        <v/>
      </c>
      <c r="U23" s="5">
        <f t="shared" si="12"/>
        <v>539395.9303628467</v>
      </c>
      <c r="V23" s="5">
        <f t="shared" si="13"/>
        <v>0</v>
      </c>
      <c r="W23" s="55">
        <f t="shared" si="14"/>
        <v>2.5363318184796851E-2</v>
      </c>
      <c r="X23" s="6">
        <f t="shared" si="15"/>
        <v>22861780.975000001</v>
      </c>
      <c r="Y23" s="5">
        <f t="shared" si="16"/>
        <v>21806168.930362847</v>
      </c>
      <c r="Z23" s="57">
        <f t="shared" si="17"/>
        <v>539395.9303628467</v>
      </c>
      <c r="AA23" s="5">
        <f t="shared" si="18"/>
        <v>0</v>
      </c>
      <c r="AB23" s="58">
        <f>SUM(F23*'Front page'!$H$11)+F23</f>
        <v>21692108.460000001</v>
      </c>
      <c r="AC23" s="58">
        <f t="shared" si="19"/>
        <v>21806168.930362847</v>
      </c>
      <c r="AD23" s="58">
        <f t="shared" si="20"/>
        <v>21806168.930362847</v>
      </c>
      <c r="AE23" s="58">
        <f t="shared" si="21"/>
        <v>539395.9303628467</v>
      </c>
      <c r="AF23" s="56">
        <f t="shared" si="22"/>
        <v>2.5363318184796851E-2</v>
      </c>
      <c r="AG23" s="58">
        <f t="shared" si="23"/>
        <v>539395.9303628467</v>
      </c>
      <c r="AH23" s="56">
        <f t="shared" si="24"/>
        <v>2.5363318184796851E-2</v>
      </c>
    </row>
    <row r="24" spans="1:34">
      <c r="A24" t="str">
        <f t="shared" si="0"/>
        <v>091</v>
      </c>
      <c r="B24">
        <f t="shared" si="1"/>
        <v>91</v>
      </c>
      <c r="C24" s="15" t="s">
        <v>33</v>
      </c>
      <c r="D24" s="155">
        <v>49629212.129999995</v>
      </c>
      <c r="E24" s="155">
        <v>4910278.6899999995</v>
      </c>
      <c r="F24" s="155">
        <f t="shared" si="2"/>
        <v>54539490.819999993</v>
      </c>
      <c r="G24" s="238">
        <v>9659.5</v>
      </c>
      <c r="H24" s="239">
        <f t="shared" si="3"/>
        <v>5646.202269268595</v>
      </c>
      <c r="I24" s="213">
        <f t="shared" si="4"/>
        <v>3.1235392572012875E-2</v>
      </c>
      <c r="J24" s="5">
        <f>Calculations!AS24</f>
        <v>53507613.06620121</v>
      </c>
      <c r="K24" s="5">
        <f t="shared" si="5"/>
        <v>5361764.0847094292</v>
      </c>
      <c r="L24" s="5">
        <f t="shared" si="6"/>
        <v>58869377.150910638</v>
      </c>
      <c r="M24" s="146">
        <v>9659.5</v>
      </c>
      <c r="N24" s="58">
        <f t="shared" si="7"/>
        <v>6094.4538693421646</v>
      </c>
      <c r="O24" s="36">
        <f t="shared" si="8"/>
        <v>3.2081203644621914E-2</v>
      </c>
      <c r="P24" s="211">
        <f>SUM(H24*'Front page'!$H$10)+H24</f>
        <v>6069.6674394637394</v>
      </c>
      <c r="Q24" s="211">
        <f t="shared" si="9"/>
        <v>58629952.631499991</v>
      </c>
      <c r="R24" s="218"/>
      <c r="S24" s="5">
        <f t="shared" si="10"/>
        <v>4329886.3309106454</v>
      </c>
      <c r="T24" s="5" t="str">
        <f t="shared" si="11"/>
        <v/>
      </c>
      <c r="U24" s="5">
        <f t="shared" si="12"/>
        <v>4090461.811499998</v>
      </c>
      <c r="V24" s="5">
        <f t="shared" si="13"/>
        <v>-239424.51941064745</v>
      </c>
      <c r="W24" s="55">
        <f t="shared" si="14"/>
        <v>7.9389929495323544E-2</v>
      </c>
      <c r="X24" s="6">
        <f t="shared" si="15"/>
        <v>58629952.631499991</v>
      </c>
      <c r="Y24" s="5">
        <f t="shared" si="16"/>
        <v>58629952.631499991</v>
      </c>
      <c r="Z24" s="57">
        <f t="shared" si="17"/>
        <v>4090461.811499998</v>
      </c>
      <c r="AA24" s="5">
        <f t="shared" si="18"/>
        <v>-239424.51941064745</v>
      </c>
      <c r="AB24" s="58">
        <f>SUM(F24*'Front page'!$H$11)+F24</f>
        <v>55630280.636399992</v>
      </c>
      <c r="AC24" s="58">
        <f t="shared" si="19"/>
        <v>58869377.150910638</v>
      </c>
      <c r="AD24" s="58">
        <f t="shared" si="20"/>
        <v>58629952.631499991</v>
      </c>
      <c r="AE24" s="58">
        <f t="shared" si="21"/>
        <v>4329886.3309106454</v>
      </c>
      <c r="AF24" s="56">
        <f t="shared" si="22"/>
        <v>7.9389929495323544E-2</v>
      </c>
      <c r="AG24" s="58">
        <f t="shared" si="23"/>
        <v>4090461.811499998</v>
      </c>
      <c r="AH24" s="56">
        <f t="shared" si="24"/>
        <v>7.4999999999999969E-2</v>
      </c>
    </row>
    <row r="25" spans="1:34">
      <c r="A25" t="str">
        <f t="shared" si="0"/>
        <v>092</v>
      </c>
      <c r="B25">
        <f t="shared" si="1"/>
        <v>92</v>
      </c>
      <c r="C25" s="15" t="s">
        <v>34</v>
      </c>
      <c r="D25" s="155">
        <v>424340.84</v>
      </c>
      <c r="E25" s="155">
        <v>156082.26</v>
      </c>
      <c r="F25" s="155">
        <f t="shared" si="2"/>
        <v>580423.10000000009</v>
      </c>
      <c r="G25" s="238">
        <v>42</v>
      </c>
      <c r="H25" s="239">
        <f t="shared" si="3"/>
        <v>13819.597619047621</v>
      </c>
      <c r="I25" s="213">
        <f t="shared" si="4"/>
        <v>3.3241497333004786E-4</v>
      </c>
      <c r="J25" s="5">
        <f>Calculations!AS25</f>
        <v>374618.20912296366</v>
      </c>
      <c r="K25" s="5">
        <f t="shared" si="5"/>
        <v>170433.55556022</v>
      </c>
      <c r="L25" s="5">
        <f t="shared" si="6"/>
        <v>545051.76468318363</v>
      </c>
      <c r="M25" s="146">
        <v>42</v>
      </c>
      <c r="N25" s="58">
        <f t="shared" si="7"/>
        <v>12977.42296864723</v>
      </c>
      <c r="O25" s="36">
        <f t="shared" si="8"/>
        <v>2.9702907531766316E-4</v>
      </c>
      <c r="P25" s="211">
        <f>SUM(H25*'Front page'!$H$10)+H25</f>
        <v>14856.067440476192</v>
      </c>
      <c r="Q25" s="211">
        <f t="shared" si="9"/>
        <v>545051.76468318363</v>
      </c>
      <c r="R25" s="218"/>
      <c r="S25" s="5">
        <f t="shared" si="10"/>
        <v>-35371.335316816461</v>
      </c>
      <c r="T25" s="5">
        <f t="shared" si="11"/>
        <v>-35371.335316816461</v>
      </c>
      <c r="U25" s="5">
        <f t="shared" si="12"/>
        <v>-35371.335316816461</v>
      </c>
      <c r="V25" s="5">
        <f t="shared" si="13"/>
        <v>0</v>
      </c>
      <c r="W25" s="55">
        <f t="shared" si="14"/>
        <v>-6.0940605769853842E-2</v>
      </c>
      <c r="X25" s="6">
        <f t="shared" si="15"/>
        <v>623954.83250000014</v>
      </c>
      <c r="Y25" s="5">
        <f t="shared" si="16"/>
        <v>545051.76468318363</v>
      </c>
      <c r="Z25" s="57">
        <f t="shared" si="17"/>
        <v>-35371.335316816461</v>
      </c>
      <c r="AA25" s="5">
        <f t="shared" si="18"/>
        <v>0</v>
      </c>
      <c r="AB25" s="58">
        <f>SUM(F25*'Front page'!$H$11)+F25</f>
        <v>592031.56200000015</v>
      </c>
      <c r="AC25" s="58">
        <f t="shared" si="19"/>
        <v>592031.56200000015</v>
      </c>
      <c r="AD25" s="58">
        <f t="shared" si="20"/>
        <v>592031.56200000015</v>
      </c>
      <c r="AE25" s="58">
        <f t="shared" si="21"/>
        <v>11608.462000000058</v>
      </c>
      <c r="AF25" s="56">
        <f t="shared" si="22"/>
        <v>2.0000000000000098E-2</v>
      </c>
      <c r="AG25" s="58">
        <f t="shared" si="23"/>
        <v>11608.462000000058</v>
      </c>
      <c r="AH25" s="56">
        <f t="shared" si="24"/>
        <v>2.0000000000000098E-2</v>
      </c>
    </row>
    <row r="26" spans="1:34">
      <c r="A26" t="str">
        <f t="shared" si="0"/>
        <v>093</v>
      </c>
      <c r="B26">
        <f t="shared" si="1"/>
        <v>93</v>
      </c>
      <c r="C26" s="15" t="s">
        <v>35</v>
      </c>
      <c r="D26" s="155">
        <v>59629452.390000001</v>
      </c>
      <c r="E26" s="155">
        <v>7366931.6699999999</v>
      </c>
      <c r="F26" s="155">
        <f t="shared" si="2"/>
        <v>66996384.060000002</v>
      </c>
      <c r="G26" s="238">
        <v>11961</v>
      </c>
      <c r="H26" s="239">
        <f t="shared" si="3"/>
        <v>5601.2360220717337</v>
      </c>
      <c r="I26" s="213">
        <f t="shared" si="4"/>
        <v>3.8369598350779875E-2</v>
      </c>
      <c r="J26" s="5">
        <f>Calculations!AS26</f>
        <v>66607975.657513551</v>
      </c>
      <c r="K26" s="5">
        <f t="shared" si="5"/>
        <v>8044298.93626149</v>
      </c>
      <c r="L26" s="5">
        <f t="shared" si="6"/>
        <v>74652274.593775034</v>
      </c>
      <c r="M26" s="146">
        <v>11961</v>
      </c>
      <c r="N26" s="58">
        <f t="shared" si="7"/>
        <v>6241.3071309903044</v>
      </c>
      <c r="O26" s="36">
        <f t="shared" si="8"/>
        <v>4.0682183839617615E-2</v>
      </c>
      <c r="P26" s="211">
        <f>SUM(H26*'Front page'!$H$10)+H26</f>
        <v>6021.3287237271134</v>
      </c>
      <c r="Q26" s="211">
        <f t="shared" si="9"/>
        <v>72021112.864500001</v>
      </c>
      <c r="R26" s="218"/>
      <c r="S26" s="5">
        <f t="shared" si="10"/>
        <v>7655890.5337750316</v>
      </c>
      <c r="T26" s="5" t="str">
        <f t="shared" si="11"/>
        <v/>
      </c>
      <c r="U26" s="5">
        <f t="shared" si="12"/>
        <v>5024728.8044999987</v>
      </c>
      <c r="V26" s="5">
        <f t="shared" si="13"/>
        <v>-2631161.7292750329</v>
      </c>
      <c r="W26" s="55">
        <f t="shared" si="14"/>
        <v>0.11427319013095752</v>
      </c>
      <c r="X26" s="6">
        <f t="shared" si="15"/>
        <v>72021112.864500001</v>
      </c>
      <c r="Y26" s="5">
        <f t="shared" si="16"/>
        <v>72021112.864500001</v>
      </c>
      <c r="Z26" s="57">
        <f t="shared" si="17"/>
        <v>5024728.8044999987</v>
      </c>
      <c r="AA26" s="5">
        <f t="shared" si="18"/>
        <v>-2631161.7292750329</v>
      </c>
      <c r="AB26" s="58">
        <f>SUM(F26*'Front page'!$H$11)+F26</f>
        <v>68336311.7412</v>
      </c>
      <c r="AC26" s="58">
        <f t="shared" si="19"/>
        <v>74652274.593775034</v>
      </c>
      <c r="AD26" s="58">
        <f t="shared" si="20"/>
        <v>72021112.864500001</v>
      </c>
      <c r="AE26" s="58">
        <f t="shared" si="21"/>
        <v>7655890.5337750316</v>
      </c>
      <c r="AF26" s="56">
        <f t="shared" si="22"/>
        <v>0.11427319013095752</v>
      </c>
      <c r="AG26" s="58">
        <f t="shared" si="23"/>
        <v>5024728.8044999987</v>
      </c>
      <c r="AH26" s="56">
        <f t="shared" si="24"/>
        <v>7.4999999999999983E-2</v>
      </c>
    </row>
    <row r="27" spans="1:34">
      <c r="A27" t="str">
        <f t="shared" si="0"/>
        <v>101</v>
      </c>
      <c r="B27">
        <f t="shared" si="1"/>
        <v>101</v>
      </c>
      <c r="C27" s="15" t="s">
        <v>36</v>
      </c>
      <c r="D27" s="155">
        <v>7777140.5699999994</v>
      </c>
      <c r="E27" s="155">
        <v>839863.17</v>
      </c>
      <c r="F27" s="155">
        <f t="shared" si="2"/>
        <v>8617003.7400000002</v>
      </c>
      <c r="G27" s="238">
        <v>1407.5</v>
      </c>
      <c r="H27" s="239">
        <f t="shared" si="3"/>
        <v>6122.2051438721137</v>
      </c>
      <c r="I27" s="213">
        <f t="shared" si="4"/>
        <v>4.9350569755356438E-3</v>
      </c>
      <c r="J27" s="5">
        <f>Calculations!AS27</f>
        <v>7626393.2485068385</v>
      </c>
      <c r="K27" s="5">
        <f t="shared" si="5"/>
        <v>917086.06889199</v>
      </c>
      <c r="L27" s="5">
        <f t="shared" si="6"/>
        <v>8543479.3173988275</v>
      </c>
      <c r="M27" s="146">
        <v>1407.5</v>
      </c>
      <c r="N27" s="58">
        <f t="shared" si="7"/>
        <v>6069.9675434449928</v>
      </c>
      <c r="O27" s="36">
        <f t="shared" si="8"/>
        <v>4.6558178985395878E-3</v>
      </c>
      <c r="P27" s="211">
        <f>SUM(H27*'Front page'!$H$10)+H27</f>
        <v>6581.3705296625221</v>
      </c>
      <c r="Q27" s="211">
        <f t="shared" si="9"/>
        <v>8543479.3173988275</v>
      </c>
      <c r="R27" s="218"/>
      <c r="S27" s="5">
        <f t="shared" si="10"/>
        <v>-73524.422601172701</v>
      </c>
      <c r="T27" s="5">
        <f t="shared" si="11"/>
        <v>-73524.422601172701</v>
      </c>
      <c r="U27" s="5">
        <f t="shared" si="12"/>
        <v>-73524.422601172701</v>
      </c>
      <c r="V27" s="5">
        <f t="shared" si="13"/>
        <v>0</v>
      </c>
      <c r="W27" s="55">
        <f t="shared" si="14"/>
        <v>-8.5324812219673817E-3</v>
      </c>
      <c r="X27" s="6">
        <f t="shared" si="15"/>
        <v>9263279.0205000006</v>
      </c>
      <c r="Y27" s="5">
        <f t="shared" si="16"/>
        <v>8543479.3173988275</v>
      </c>
      <c r="Z27" s="57">
        <f t="shared" si="17"/>
        <v>-73524.422601172701</v>
      </c>
      <c r="AA27" s="5">
        <f t="shared" si="18"/>
        <v>0</v>
      </c>
      <c r="AB27" s="58">
        <f>SUM(F27*'Front page'!$H$11)+F27</f>
        <v>8789343.8147999998</v>
      </c>
      <c r="AC27" s="58">
        <f t="shared" si="19"/>
        <v>8789343.8147999998</v>
      </c>
      <c r="AD27" s="58">
        <f t="shared" si="20"/>
        <v>8789343.8147999998</v>
      </c>
      <c r="AE27" s="58">
        <f t="shared" si="21"/>
        <v>172340.07479999959</v>
      </c>
      <c r="AF27" s="56">
        <f t="shared" si="22"/>
        <v>1.9999999999999952E-2</v>
      </c>
      <c r="AG27" s="58">
        <f t="shared" si="23"/>
        <v>172340.07479999959</v>
      </c>
      <c r="AH27" s="56">
        <f t="shared" si="24"/>
        <v>1.9999999999999952E-2</v>
      </c>
    </row>
    <row r="28" spans="1:34">
      <c r="A28" t="str">
        <f t="shared" si="0"/>
        <v>111</v>
      </c>
      <c r="B28">
        <f t="shared" si="1"/>
        <v>111</v>
      </c>
      <c r="C28" s="15" t="s">
        <v>37</v>
      </c>
      <c r="D28" s="155">
        <v>2852186.2300000004</v>
      </c>
      <c r="E28" s="155">
        <v>339513.04000000004</v>
      </c>
      <c r="F28" s="155">
        <f t="shared" si="2"/>
        <v>3191699.2700000005</v>
      </c>
      <c r="G28" s="238">
        <v>405.5</v>
      </c>
      <c r="H28" s="239">
        <f t="shared" si="3"/>
        <v>7871.0216276202227</v>
      </c>
      <c r="I28" s="213">
        <f t="shared" si="4"/>
        <v>1.8279228165015888E-3</v>
      </c>
      <c r="J28" s="5">
        <f>Calculations!AS28</f>
        <v>3136595.5815358846</v>
      </c>
      <c r="K28" s="5">
        <f t="shared" si="5"/>
        <v>370730.24548888003</v>
      </c>
      <c r="L28" s="5">
        <f t="shared" si="6"/>
        <v>3507325.8270247648</v>
      </c>
      <c r="M28" s="146">
        <v>405.5</v>
      </c>
      <c r="N28" s="58">
        <f t="shared" si="7"/>
        <v>8649.3855167071888</v>
      </c>
      <c r="O28" s="36">
        <f t="shared" si="8"/>
        <v>1.9113372614149172E-3</v>
      </c>
      <c r="P28" s="211">
        <f>SUM(H28*'Front page'!$H$10)+H28</f>
        <v>8461.3482496917386</v>
      </c>
      <c r="Q28" s="211">
        <f t="shared" si="9"/>
        <v>3431076.7152499999</v>
      </c>
      <c r="R28" s="218"/>
      <c r="S28" s="5">
        <f t="shared" si="10"/>
        <v>315626.55702476436</v>
      </c>
      <c r="T28" s="5" t="str">
        <f t="shared" si="11"/>
        <v/>
      </c>
      <c r="U28" s="5">
        <f t="shared" si="12"/>
        <v>239377.44524999941</v>
      </c>
      <c r="V28" s="5">
        <f t="shared" si="13"/>
        <v>-76249.111774764955</v>
      </c>
      <c r="W28" s="55">
        <f t="shared" si="14"/>
        <v>9.8889817092562213E-2</v>
      </c>
      <c r="X28" s="6">
        <f t="shared" si="15"/>
        <v>3431076.7152500004</v>
      </c>
      <c r="Y28" s="5">
        <f t="shared" si="16"/>
        <v>3431076.7152500004</v>
      </c>
      <c r="Z28" s="57">
        <f t="shared" si="17"/>
        <v>239377.44524999987</v>
      </c>
      <c r="AA28" s="5">
        <f t="shared" si="18"/>
        <v>-76249.111774764489</v>
      </c>
      <c r="AB28" s="58">
        <f>SUM(F28*'Front page'!$H$11)+F28</f>
        <v>3255533.2554000006</v>
      </c>
      <c r="AC28" s="58">
        <f t="shared" si="19"/>
        <v>3507325.8270247648</v>
      </c>
      <c r="AD28" s="58">
        <f t="shared" si="20"/>
        <v>3431076.7152499999</v>
      </c>
      <c r="AE28" s="58">
        <f t="shared" si="21"/>
        <v>315626.55702476436</v>
      </c>
      <c r="AF28" s="56">
        <f t="shared" si="22"/>
        <v>9.8889817092562213E-2</v>
      </c>
      <c r="AG28" s="58">
        <f t="shared" si="23"/>
        <v>239377.44524999941</v>
      </c>
      <c r="AH28" s="56">
        <f t="shared" si="24"/>
        <v>7.4999999999999803E-2</v>
      </c>
    </row>
    <row r="29" spans="1:34">
      <c r="A29" t="str">
        <f t="shared" si="0"/>
        <v>121</v>
      </c>
      <c r="B29">
        <f t="shared" si="1"/>
        <v>121</v>
      </c>
      <c r="C29" s="15" t="s">
        <v>38</v>
      </c>
      <c r="D29" s="155">
        <v>1572296.6300000001</v>
      </c>
      <c r="E29" s="155">
        <v>156614.87</v>
      </c>
      <c r="F29" s="155">
        <f t="shared" si="2"/>
        <v>1728911.5</v>
      </c>
      <c r="G29" s="238">
        <v>147</v>
      </c>
      <c r="H29" s="239">
        <f t="shared" si="3"/>
        <v>11761.302721088436</v>
      </c>
      <c r="I29" s="213">
        <f t="shared" si="4"/>
        <v>9.9016746604763486E-4</v>
      </c>
      <c r="J29" s="5">
        <f>Calculations!AS29</f>
        <v>1533984.2529412017</v>
      </c>
      <c r="K29" s="5">
        <f t="shared" si="5"/>
        <v>171015.13745188998</v>
      </c>
      <c r="L29" s="5">
        <f t="shared" si="6"/>
        <v>1704999.3903930916</v>
      </c>
      <c r="M29" s="146">
        <v>147</v>
      </c>
      <c r="N29" s="58">
        <f t="shared" si="7"/>
        <v>11598.635308796542</v>
      </c>
      <c r="O29" s="36">
        <f t="shared" si="8"/>
        <v>9.2914916556596978E-4</v>
      </c>
      <c r="P29" s="211">
        <f>SUM(H29*'Front page'!$H$10)+H29</f>
        <v>12643.400425170068</v>
      </c>
      <c r="Q29" s="211">
        <f t="shared" si="9"/>
        <v>1704999.3903930916</v>
      </c>
      <c r="R29" s="218"/>
      <c r="S29" s="5">
        <f t="shared" si="10"/>
        <v>-23912.109606908401</v>
      </c>
      <c r="T29" s="5">
        <f t="shared" si="11"/>
        <v>-23912.109606908401</v>
      </c>
      <c r="U29" s="5">
        <f t="shared" si="12"/>
        <v>-23912.109606908401</v>
      </c>
      <c r="V29" s="5">
        <f t="shared" si="13"/>
        <v>0</v>
      </c>
      <c r="W29" s="55">
        <f t="shared" si="14"/>
        <v>-1.383073084244532E-2</v>
      </c>
      <c r="X29" s="6">
        <f t="shared" si="15"/>
        <v>1858579.8625</v>
      </c>
      <c r="Y29" s="5">
        <f t="shared" si="16"/>
        <v>1704999.3903930916</v>
      </c>
      <c r="Z29" s="57">
        <f t="shared" si="17"/>
        <v>-23912.109606908401</v>
      </c>
      <c r="AA29" s="5">
        <f t="shared" si="18"/>
        <v>0</v>
      </c>
      <c r="AB29" s="58">
        <f>SUM(F29*'Front page'!$H$11)+F29</f>
        <v>1763489.73</v>
      </c>
      <c r="AC29" s="58">
        <f t="shared" si="19"/>
        <v>1763489.73</v>
      </c>
      <c r="AD29" s="58">
        <f t="shared" si="20"/>
        <v>1763489.73</v>
      </c>
      <c r="AE29" s="58">
        <f t="shared" si="21"/>
        <v>34578.229999999981</v>
      </c>
      <c r="AF29" s="56">
        <f t="shared" si="22"/>
        <v>1.999999999999999E-2</v>
      </c>
      <c r="AG29" s="58">
        <f t="shared" si="23"/>
        <v>34578.229999999981</v>
      </c>
      <c r="AH29" s="56">
        <f t="shared" si="24"/>
        <v>1.999999999999999E-2</v>
      </c>
    </row>
    <row r="30" spans="1:34">
      <c r="A30" t="str">
        <f t="shared" si="0"/>
        <v>131</v>
      </c>
      <c r="B30">
        <f t="shared" si="1"/>
        <v>131</v>
      </c>
      <c r="C30" s="15" t="s">
        <v>39</v>
      </c>
      <c r="D30" s="155">
        <v>69615086.549999997</v>
      </c>
      <c r="E30" s="155">
        <v>10525891.67</v>
      </c>
      <c r="F30" s="155">
        <f t="shared" si="2"/>
        <v>80140978.219999999</v>
      </c>
      <c r="G30" s="238">
        <v>13569</v>
      </c>
      <c r="H30" s="239">
        <f t="shared" si="3"/>
        <v>5906.181606603287</v>
      </c>
      <c r="I30" s="213">
        <f t="shared" si="4"/>
        <v>4.5897658342070199E-2</v>
      </c>
      <c r="J30" s="5">
        <f>Calculations!AS30</f>
        <v>74255197.842086613</v>
      </c>
      <c r="K30" s="5">
        <f t="shared" si="5"/>
        <v>11493715.83138149</v>
      </c>
      <c r="L30" s="5">
        <f t="shared" si="6"/>
        <v>85748913.673468098</v>
      </c>
      <c r="M30" s="146">
        <v>13569</v>
      </c>
      <c r="N30" s="58">
        <f t="shared" si="7"/>
        <v>6319.4718603779274</v>
      </c>
      <c r="O30" s="36">
        <f t="shared" si="8"/>
        <v>4.6729360747467683E-2</v>
      </c>
      <c r="P30" s="211">
        <f>SUM(H30*'Front page'!$H$10)+H30</f>
        <v>6349.1452270985337</v>
      </c>
      <c r="Q30" s="211">
        <f t="shared" si="9"/>
        <v>85748913.673468098</v>
      </c>
      <c r="R30" s="218"/>
      <c r="S30" s="5">
        <f t="shared" si="10"/>
        <v>5607935.4534680992</v>
      </c>
      <c r="T30" s="5" t="str">
        <f t="shared" si="11"/>
        <v/>
      </c>
      <c r="U30" s="5">
        <f t="shared" si="12"/>
        <v>5607935.4534680992</v>
      </c>
      <c r="V30" s="5">
        <f t="shared" si="13"/>
        <v>0</v>
      </c>
      <c r="W30" s="55">
        <f t="shared" si="14"/>
        <v>6.9975879731258156E-2</v>
      </c>
      <c r="X30" s="6">
        <f t="shared" si="15"/>
        <v>86151551.586500004</v>
      </c>
      <c r="Y30" s="5">
        <f t="shared" si="16"/>
        <v>85748913.673468098</v>
      </c>
      <c r="Z30" s="57">
        <f t="shared" si="17"/>
        <v>5607935.4534680992</v>
      </c>
      <c r="AA30" s="5">
        <f t="shared" si="18"/>
        <v>0</v>
      </c>
      <c r="AB30" s="58">
        <f>SUM(F30*'Front page'!$H$11)+F30</f>
        <v>81743797.784400001</v>
      </c>
      <c r="AC30" s="58">
        <f t="shared" si="19"/>
        <v>85748913.673468098</v>
      </c>
      <c r="AD30" s="58">
        <f t="shared" si="20"/>
        <v>85748913.673468098</v>
      </c>
      <c r="AE30" s="58">
        <f t="shared" si="21"/>
        <v>5607935.4534680992</v>
      </c>
      <c r="AF30" s="56">
        <f t="shared" si="22"/>
        <v>6.9975879731258156E-2</v>
      </c>
      <c r="AG30" s="58">
        <f t="shared" si="23"/>
        <v>5607935.4534680992</v>
      </c>
      <c r="AH30" s="56">
        <f t="shared" si="24"/>
        <v>6.9975879731258156E-2</v>
      </c>
    </row>
    <row r="31" spans="1:34">
      <c r="A31" t="str">
        <f t="shared" si="0"/>
        <v>132</v>
      </c>
      <c r="B31">
        <f t="shared" si="1"/>
        <v>132</v>
      </c>
      <c r="C31" s="15" t="s">
        <v>40</v>
      </c>
      <c r="D31" s="155">
        <v>30934240.68</v>
      </c>
      <c r="E31" s="155">
        <v>5052384.3800000008</v>
      </c>
      <c r="F31" s="155">
        <f t="shared" si="2"/>
        <v>35986625.060000002</v>
      </c>
      <c r="G31" s="238">
        <v>6096.5</v>
      </c>
      <c r="H31" s="239">
        <f t="shared" si="3"/>
        <v>5902.8336028869026</v>
      </c>
      <c r="I31" s="213">
        <f t="shared" si="4"/>
        <v>2.0609953341895474E-2</v>
      </c>
      <c r="J31" s="5">
        <f>Calculations!AS31</f>
        <v>33856954.785863012</v>
      </c>
      <c r="K31" s="5">
        <f t="shared" si="5"/>
        <v>5516935.9665878611</v>
      </c>
      <c r="L31" s="5">
        <f t="shared" si="6"/>
        <v>39373890.752450876</v>
      </c>
      <c r="M31" s="146">
        <v>6096.5</v>
      </c>
      <c r="N31" s="58">
        <f t="shared" si="7"/>
        <v>6458.4418522842407</v>
      </c>
      <c r="O31" s="36">
        <f t="shared" si="8"/>
        <v>2.1457026872772553E-2</v>
      </c>
      <c r="P31" s="211">
        <f>SUM(H31*'Front page'!$H$10)+H31</f>
        <v>6345.5461231034205</v>
      </c>
      <c r="Q31" s="211">
        <f t="shared" si="9"/>
        <v>38685621.939500004</v>
      </c>
      <c r="R31" s="218"/>
      <c r="S31" s="5">
        <f t="shared" si="10"/>
        <v>3387265.6924508736</v>
      </c>
      <c r="T31" s="5" t="str">
        <f t="shared" si="11"/>
        <v/>
      </c>
      <c r="U31" s="5">
        <f t="shared" si="12"/>
        <v>2698996.8795000017</v>
      </c>
      <c r="V31" s="5">
        <f t="shared" si="13"/>
        <v>-688268.81295087188</v>
      </c>
      <c r="W31" s="55">
        <f t="shared" si="14"/>
        <v>9.4125683828459386E-2</v>
      </c>
      <c r="X31" s="6">
        <f t="shared" si="15"/>
        <v>38685621.939500004</v>
      </c>
      <c r="Y31" s="5">
        <f t="shared" si="16"/>
        <v>38685621.939500004</v>
      </c>
      <c r="Z31" s="57">
        <f t="shared" si="17"/>
        <v>2698996.8795000017</v>
      </c>
      <c r="AA31" s="5">
        <f t="shared" si="18"/>
        <v>-688268.81295087188</v>
      </c>
      <c r="AB31" s="58">
        <f>SUM(F31*'Front page'!$H$11)+F31</f>
        <v>36706357.5612</v>
      </c>
      <c r="AC31" s="58">
        <f t="shared" si="19"/>
        <v>39373890.752450876</v>
      </c>
      <c r="AD31" s="58">
        <f t="shared" si="20"/>
        <v>38685621.939500004</v>
      </c>
      <c r="AE31" s="58">
        <f t="shared" si="21"/>
        <v>3387265.6924508736</v>
      </c>
      <c r="AF31" s="56">
        <f t="shared" si="22"/>
        <v>9.4125683828459386E-2</v>
      </c>
      <c r="AG31" s="58">
        <f t="shared" si="23"/>
        <v>2698996.8795000017</v>
      </c>
      <c r="AH31" s="56">
        <f t="shared" si="24"/>
        <v>7.5000000000000039E-2</v>
      </c>
    </row>
    <row r="32" spans="1:34">
      <c r="A32" t="str">
        <f t="shared" si="0"/>
        <v>133</v>
      </c>
      <c r="B32">
        <f t="shared" si="1"/>
        <v>133</v>
      </c>
      <c r="C32" s="15" t="s">
        <v>41</v>
      </c>
      <c r="D32" s="155">
        <v>3153707</v>
      </c>
      <c r="E32" s="155">
        <v>480360</v>
      </c>
      <c r="F32" s="155">
        <f t="shared" si="2"/>
        <v>3634067</v>
      </c>
      <c r="G32" s="238">
        <v>485.5</v>
      </c>
      <c r="H32" s="239">
        <f t="shared" si="3"/>
        <v>7485.2049433573638</v>
      </c>
      <c r="I32" s="213">
        <f t="shared" si="4"/>
        <v>2.0812718943898113E-3</v>
      </c>
      <c r="J32" s="5">
        <f>Calculations!AS32</f>
        <v>3479381.2766230693</v>
      </c>
      <c r="K32" s="5">
        <f t="shared" si="5"/>
        <v>524527.66092000005</v>
      </c>
      <c r="L32" s="5">
        <f t="shared" si="6"/>
        <v>4003908.9375430695</v>
      </c>
      <c r="M32" s="146">
        <v>485.5</v>
      </c>
      <c r="N32" s="58">
        <f t="shared" si="7"/>
        <v>8246.9803038992159</v>
      </c>
      <c r="O32" s="36">
        <f t="shared" si="8"/>
        <v>2.1819530665418974E-3</v>
      </c>
      <c r="P32" s="211">
        <f>SUM(H32*'Front page'!$H$10)+H32</f>
        <v>8046.5953141091659</v>
      </c>
      <c r="Q32" s="211">
        <f t="shared" si="9"/>
        <v>3906622.0249999999</v>
      </c>
      <c r="R32" s="218"/>
      <c r="S32" s="5">
        <f t="shared" si="10"/>
        <v>369841.93754306948</v>
      </c>
      <c r="T32" s="5" t="str">
        <f t="shared" si="11"/>
        <v/>
      </c>
      <c r="U32" s="5">
        <f t="shared" si="12"/>
        <v>272555.02499999991</v>
      </c>
      <c r="V32" s="5">
        <f t="shared" si="13"/>
        <v>-97286.912543069571</v>
      </c>
      <c r="W32" s="55">
        <f t="shared" si="14"/>
        <v>0.10177080872286325</v>
      </c>
      <c r="X32" s="6">
        <f t="shared" si="15"/>
        <v>3906622.0249999999</v>
      </c>
      <c r="Y32" s="5">
        <f t="shared" si="16"/>
        <v>3906622.0249999999</v>
      </c>
      <c r="Z32" s="57">
        <f t="shared" si="17"/>
        <v>272555.02499999991</v>
      </c>
      <c r="AA32" s="5">
        <f t="shared" si="18"/>
        <v>-97286.912543069571</v>
      </c>
      <c r="AB32" s="58">
        <f>SUM(F32*'Front page'!$H$11)+F32</f>
        <v>3706748.34</v>
      </c>
      <c r="AC32" s="58">
        <f t="shared" si="19"/>
        <v>4003908.9375430695</v>
      </c>
      <c r="AD32" s="58">
        <f t="shared" si="20"/>
        <v>3906622.0249999999</v>
      </c>
      <c r="AE32" s="58">
        <f t="shared" si="21"/>
        <v>369841.93754306948</v>
      </c>
      <c r="AF32" s="56">
        <f t="shared" si="22"/>
        <v>0.10177080872286325</v>
      </c>
      <c r="AG32" s="58">
        <f t="shared" si="23"/>
        <v>272555.02499999991</v>
      </c>
      <c r="AH32" s="56">
        <f t="shared" si="24"/>
        <v>7.4999999999999969E-2</v>
      </c>
    </row>
    <row r="33" spans="1:34">
      <c r="A33" t="str">
        <f t="shared" si="0"/>
        <v>134</v>
      </c>
      <c r="B33">
        <f t="shared" si="1"/>
        <v>134</v>
      </c>
      <c r="C33" s="15" t="s">
        <v>42</v>
      </c>
      <c r="D33" s="155">
        <v>19601899</v>
      </c>
      <c r="E33" s="155">
        <v>3281167</v>
      </c>
      <c r="F33" s="155">
        <f t="shared" si="2"/>
        <v>22883066</v>
      </c>
      <c r="G33" s="238">
        <v>3868.5</v>
      </c>
      <c r="H33" s="239">
        <f t="shared" si="3"/>
        <v>5915.229675584852</v>
      </c>
      <c r="I33" s="213">
        <f t="shared" si="4"/>
        <v>1.310539462350779E-2</v>
      </c>
      <c r="J33" s="5">
        <f>Calculations!AS33</f>
        <v>21086913.641511284</v>
      </c>
      <c r="K33" s="5">
        <f t="shared" si="5"/>
        <v>3582860.4621489998</v>
      </c>
      <c r="L33" s="5">
        <f t="shared" si="6"/>
        <v>24669774.103660285</v>
      </c>
      <c r="M33" s="146">
        <v>3868.5</v>
      </c>
      <c r="N33" s="58">
        <f t="shared" si="7"/>
        <v>6377.0903718909876</v>
      </c>
      <c r="O33" s="36">
        <f t="shared" si="8"/>
        <v>1.344393443908049E-2</v>
      </c>
      <c r="P33" s="211">
        <f>SUM(H33*'Front page'!$H$10)+H33</f>
        <v>6358.8719012537158</v>
      </c>
      <c r="Q33" s="211">
        <f t="shared" si="9"/>
        <v>24599295.949999999</v>
      </c>
      <c r="R33" s="218"/>
      <c r="S33" s="5">
        <f t="shared" si="10"/>
        <v>1786708.1036602855</v>
      </c>
      <c r="T33" s="5" t="str">
        <f t="shared" si="11"/>
        <v/>
      </c>
      <c r="U33" s="5">
        <f t="shared" si="12"/>
        <v>1716229.9499999993</v>
      </c>
      <c r="V33" s="5">
        <f t="shared" si="13"/>
        <v>-70478.153660286218</v>
      </c>
      <c r="W33" s="55">
        <f t="shared" si="14"/>
        <v>7.807992616287894E-2</v>
      </c>
      <c r="X33" s="6">
        <f t="shared" si="15"/>
        <v>24599295.949999999</v>
      </c>
      <c r="Y33" s="5">
        <f t="shared" si="16"/>
        <v>24599295.949999999</v>
      </c>
      <c r="Z33" s="57">
        <f t="shared" si="17"/>
        <v>1716229.9499999993</v>
      </c>
      <c r="AA33" s="5">
        <f t="shared" si="18"/>
        <v>-70478.153660286218</v>
      </c>
      <c r="AB33" s="58">
        <f>SUM(F33*'Front page'!$H$11)+F33</f>
        <v>23340727.32</v>
      </c>
      <c r="AC33" s="58">
        <f t="shared" si="19"/>
        <v>24669774.103660285</v>
      </c>
      <c r="AD33" s="58">
        <f t="shared" si="20"/>
        <v>24599295.949999999</v>
      </c>
      <c r="AE33" s="58">
        <f t="shared" si="21"/>
        <v>1786708.1036602855</v>
      </c>
      <c r="AF33" s="56">
        <f t="shared" si="22"/>
        <v>7.807992616287894E-2</v>
      </c>
      <c r="AG33" s="58">
        <f t="shared" si="23"/>
        <v>1716229.9499999993</v>
      </c>
      <c r="AH33" s="56">
        <f t="shared" si="24"/>
        <v>7.4999999999999969E-2</v>
      </c>
    </row>
    <row r="34" spans="1:34">
      <c r="A34" t="str">
        <f t="shared" si="0"/>
        <v>135</v>
      </c>
      <c r="B34">
        <f t="shared" si="1"/>
        <v>135</v>
      </c>
      <c r="C34" s="15" t="s">
        <v>43</v>
      </c>
      <c r="D34" s="155">
        <v>2836218</v>
      </c>
      <c r="E34" s="155">
        <v>408494</v>
      </c>
      <c r="F34" s="155">
        <f t="shared" si="2"/>
        <v>3244712</v>
      </c>
      <c r="G34" s="238">
        <v>399.5</v>
      </c>
      <c r="H34" s="239">
        <f t="shared" si="3"/>
        <v>8121.932415519399</v>
      </c>
      <c r="I34" s="213">
        <f t="shared" si="4"/>
        <v>1.8582838156229243E-3</v>
      </c>
      <c r="J34" s="5">
        <f>Calculations!AS34</f>
        <v>3077662.9139758423</v>
      </c>
      <c r="K34" s="5">
        <f t="shared" si="5"/>
        <v>446053.79781800002</v>
      </c>
      <c r="L34" s="5">
        <f t="shared" si="6"/>
        <v>3523716.7117938423</v>
      </c>
      <c r="M34" s="146">
        <v>399.5</v>
      </c>
      <c r="N34" s="58">
        <f t="shared" si="7"/>
        <v>8820.3171759545494</v>
      </c>
      <c r="O34" s="36">
        <f t="shared" si="8"/>
        <v>1.9202695677792995E-3</v>
      </c>
      <c r="P34" s="211">
        <f>SUM(H34*'Front page'!$H$10)+H34</f>
        <v>8731.0773466833543</v>
      </c>
      <c r="Q34" s="211">
        <f t="shared" si="9"/>
        <v>3488065.4</v>
      </c>
      <c r="R34" s="218"/>
      <c r="S34" s="5">
        <f t="shared" si="10"/>
        <v>279004.71179384226</v>
      </c>
      <c r="T34" s="5" t="str">
        <f t="shared" si="11"/>
        <v/>
      </c>
      <c r="U34" s="5">
        <f t="shared" si="12"/>
        <v>243353.39999999991</v>
      </c>
      <c r="V34" s="5">
        <f t="shared" si="13"/>
        <v>-35651.311793842353</v>
      </c>
      <c r="W34" s="55">
        <f t="shared" si="14"/>
        <v>8.5987511925200835E-2</v>
      </c>
      <c r="X34" s="6">
        <f t="shared" si="15"/>
        <v>3488065.4</v>
      </c>
      <c r="Y34" s="5">
        <f t="shared" si="16"/>
        <v>3488065.4</v>
      </c>
      <c r="Z34" s="57">
        <f t="shared" si="17"/>
        <v>243353.39999999991</v>
      </c>
      <c r="AA34" s="5">
        <f t="shared" si="18"/>
        <v>-35651.311793842353</v>
      </c>
      <c r="AB34" s="58">
        <f>SUM(F34*'Front page'!$H$11)+F34</f>
        <v>3309606.24</v>
      </c>
      <c r="AC34" s="58">
        <f t="shared" si="19"/>
        <v>3523716.7117938423</v>
      </c>
      <c r="AD34" s="58">
        <f t="shared" si="20"/>
        <v>3488065.4</v>
      </c>
      <c r="AE34" s="58">
        <f t="shared" si="21"/>
        <v>279004.71179384226</v>
      </c>
      <c r="AF34" s="56">
        <f t="shared" si="22"/>
        <v>8.5987511925200835E-2</v>
      </c>
      <c r="AG34" s="58">
        <f t="shared" si="23"/>
        <v>243353.39999999991</v>
      </c>
      <c r="AH34" s="56">
        <f t="shared" si="24"/>
        <v>7.4999999999999969E-2</v>
      </c>
    </row>
    <row r="35" spans="1:34">
      <c r="A35" t="str">
        <f t="shared" ref="A35:A66" si="25">RIGHT(C35,3)</f>
        <v>136</v>
      </c>
      <c r="B35">
        <f t="shared" ref="B35:B66" si="26">A35*1</f>
        <v>136</v>
      </c>
      <c r="C35" s="15" t="s">
        <v>44</v>
      </c>
      <c r="D35" s="155">
        <v>4705297.74</v>
      </c>
      <c r="E35" s="155">
        <v>647622.92999999993</v>
      </c>
      <c r="F35" s="155">
        <f t="shared" si="2"/>
        <v>5352920.67</v>
      </c>
      <c r="G35" s="238">
        <v>817</v>
      </c>
      <c r="H35" s="239">
        <f t="shared" ref="H35:H66" si="27">SUM(F35/G35)</f>
        <v>6551.9224847001224</v>
      </c>
      <c r="I35" s="213">
        <f t="shared" ref="I35:I66" si="28">F35/$F$177</f>
        <v>3.0656791257203785E-3</v>
      </c>
      <c r="J35" s="5">
        <f>Calculations!AS35</f>
        <v>4978883.5388893923</v>
      </c>
      <c r="K35" s="5">
        <f t="shared" ref="K35:K66" si="29">E35*1.091947</f>
        <v>707169.91554470989</v>
      </c>
      <c r="L35" s="5">
        <f t="shared" ref="L35:L66" si="30">J35+K35</f>
        <v>5686053.4544341024</v>
      </c>
      <c r="M35" s="146">
        <v>817</v>
      </c>
      <c r="N35" s="58">
        <f t="shared" ref="N35:N66" si="31">SUM(L35/M35)</f>
        <v>6959.6737508373344</v>
      </c>
      <c r="O35" s="36">
        <f t="shared" ref="O35:O66" si="32">L35/$L$177</f>
        <v>3.0986473381277246E-3</v>
      </c>
      <c r="P35" s="211">
        <f>SUM(H35*'Front page'!$H$10)+H35</f>
        <v>7043.3166710526311</v>
      </c>
      <c r="Q35" s="211">
        <f t="shared" ref="Q35:Q66" si="33">MIN(N35,P35)*M35</f>
        <v>5686053.4544341024</v>
      </c>
      <c r="R35" s="218"/>
      <c r="S35" s="5">
        <f t="shared" ref="S35:S66" si="34">L35-F35</f>
        <v>333132.78443410248</v>
      </c>
      <c r="T35" s="5" t="str">
        <f t="shared" ref="T35:T66" si="35">IF(S35&lt;0,S35,"")</f>
        <v/>
      </c>
      <c r="U35" s="5">
        <f t="shared" ref="U35:U66" si="36">SUM(Q35-F35)</f>
        <v>333132.78443410248</v>
      </c>
      <c r="V35" s="5">
        <f t="shared" ref="V35:V66" si="37">SUM(Q35-L35)</f>
        <v>0</v>
      </c>
      <c r="W35" s="55">
        <f t="shared" ref="W35:W66" si="38">SUM(S35/F35)</f>
        <v>6.223383550238612E-2</v>
      </c>
      <c r="X35" s="6">
        <f t="shared" ref="X35:X66" si="39">SUM(F35*$X$1)+F35</f>
        <v>5754389.7202500002</v>
      </c>
      <c r="Y35" s="5">
        <f t="shared" ref="Y35:Y66" si="40">MIN(L35,X35)</f>
        <v>5686053.4544341024</v>
      </c>
      <c r="Z35" s="57">
        <f t="shared" ref="Z35:Z66" si="41">SUM(Y35-F35)</f>
        <v>333132.78443410248</v>
      </c>
      <c r="AA35" s="5">
        <f t="shared" ref="AA35:AA66" si="42">SUM(Y35-L35)</f>
        <v>0</v>
      </c>
      <c r="AB35" s="58">
        <f>SUM(F35*'Front page'!$H$11)+F35</f>
        <v>5459979.0833999999</v>
      </c>
      <c r="AC35" s="58">
        <f t="shared" ref="AC35:AC66" si="43">MAX(AB35,L35)</f>
        <v>5686053.4544341024</v>
      </c>
      <c r="AD35" s="58">
        <f t="shared" ref="AD35:AD66" si="44">MAX(Q35,AB35)</f>
        <v>5686053.4544341024</v>
      </c>
      <c r="AE35" s="58">
        <f t="shared" ref="AE35:AE66" si="45">SUM(AC35-F35)</f>
        <v>333132.78443410248</v>
      </c>
      <c r="AF35" s="56">
        <f t="shared" ref="AF35:AF66" si="46">SUM(AE35/F35)</f>
        <v>6.223383550238612E-2</v>
      </c>
      <c r="AG35" s="58">
        <f t="shared" ref="AG35:AG66" si="47">SUM(AD35-F35)</f>
        <v>333132.78443410248</v>
      </c>
      <c r="AH35" s="56">
        <f t="shared" ref="AH35:AH66" si="48">SUM(AG35/F35)</f>
        <v>6.223383550238612E-2</v>
      </c>
    </row>
    <row r="36" spans="1:34">
      <c r="A36" t="str">
        <f t="shared" si="25"/>
        <v>137</v>
      </c>
      <c r="B36">
        <f t="shared" si="26"/>
        <v>137</v>
      </c>
      <c r="C36" s="15" t="s">
        <v>45</v>
      </c>
      <c r="D36" s="155">
        <v>5828799.8799999999</v>
      </c>
      <c r="E36" s="155">
        <v>1037067.69</v>
      </c>
      <c r="F36" s="155">
        <f t="shared" si="2"/>
        <v>6865867.5700000003</v>
      </c>
      <c r="G36" s="238">
        <v>1032</v>
      </c>
      <c r="H36" s="239">
        <f t="shared" si="27"/>
        <v>6652.9724515503876</v>
      </c>
      <c r="I36" s="213">
        <f t="shared" si="28"/>
        <v>3.9321611858128842E-3</v>
      </c>
      <c r="J36" s="5">
        <f>Calculations!AS36</f>
        <v>6153272.7538456619</v>
      </c>
      <c r="K36" s="5">
        <f t="shared" si="29"/>
        <v>1132422.9528924299</v>
      </c>
      <c r="L36" s="5">
        <f t="shared" si="30"/>
        <v>7285695.706738092</v>
      </c>
      <c r="M36" s="146">
        <v>1032</v>
      </c>
      <c r="N36" s="58">
        <f t="shared" si="31"/>
        <v>7059.7826615679187</v>
      </c>
      <c r="O36" s="36">
        <f t="shared" si="32"/>
        <v>3.9703815289473757E-3</v>
      </c>
      <c r="P36" s="211">
        <f>SUM(H36*'Front page'!$H$10)+H36</f>
        <v>7151.9453854166668</v>
      </c>
      <c r="Q36" s="211">
        <f t="shared" si="33"/>
        <v>7285695.706738092</v>
      </c>
      <c r="R36" s="218"/>
      <c r="S36" s="5">
        <f t="shared" si="34"/>
        <v>419828.13673809171</v>
      </c>
      <c r="T36" s="5" t="str">
        <f t="shared" si="35"/>
        <v/>
      </c>
      <c r="U36" s="5">
        <f t="shared" si="36"/>
        <v>419828.13673809171</v>
      </c>
      <c r="V36" s="5">
        <f t="shared" si="37"/>
        <v>0</v>
      </c>
      <c r="W36" s="55">
        <f t="shared" si="38"/>
        <v>6.1147135807353141E-2</v>
      </c>
      <c r="X36" s="6">
        <f t="shared" si="39"/>
        <v>7380807.6377500007</v>
      </c>
      <c r="Y36" s="5">
        <f t="shared" si="40"/>
        <v>7285695.706738092</v>
      </c>
      <c r="Z36" s="57">
        <f t="shared" si="41"/>
        <v>419828.13673809171</v>
      </c>
      <c r="AA36" s="5">
        <f t="shared" si="42"/>
        <v>0</v>
      </c>
      <c r="AB36" s="58">
        <f>SUM(F36*'Front page'!$H$11)+F36</f>
        <v>7003184.9214000003</v>
      </c>
      <c r="AC36" s="58">
        <f t="shared" si="43"/>
        <v>7285695.706738092</v>
      </c>
      <c r="AD36" s="58">
        <f t="shared" si="44"/>
        <v>7285695.706738092</v>
      </c>
      <c r="AE36" s="58">
        <f t="shared" si="45"/>
        <v>419828.13673809171</v>
      </c>
      <c r="AF36" s="56">
        <f t="shared" si="46"/>
        <v>6.1147135807353141E-2</v>
      </c>
      <c r="AG36" s="58">
        <f t="shared" si="47"/>
        <v>419828.13673809171</v>
      </c>
      <c r="AH36" s="56">
        <f t="shared" si="48"/>
        <v>6.1147135807353141E-2</v>
      </c>
    </row>
    <row r="37" spans="1:34">
      <c r="A37" t="str">
        <f t="shared" si="25"/>
        <v>139</v>
      </c>
      <c r="B37">
        <f t="shared" si="26"/>
        <v>139</v>
      </c>
      <c r="C37" s="15" t="s">
        <v>46</v>
      </c>
      <c r="D37" s="155">
        <v>42769998</v>
      </c>
      <c r="E37" s="155">
        <v>8539774</v>
      </c>
      <c r="F37" s="155">
        <f t="shared" si="2"/>
        <v>51309772</v>
      </c>
      <c r="G37" s="238">
        <v>8356.5</v>
      </c>
      <c r="H37" s="239">
        <f t="shared" si="27"/>
        <v>6140.1031532340094</v>
      </c>
      <c r="I37" s="213">
        <f t="shared" si="28"/>
        <v>2.9385695522715818E-2</v>
      </c>
      <c r="J37" s="5">
        <f>Calculations!AS37</f>
        <v>47797756.990710095</v>
      </c>
      <c r="K37" s="5">
        <f t="shared" si="29"/>
        <v>9324980.5999779999</v>
      </c>
      <c r="L37" s="5">
        <f t="shared" si="30"/>
        <v>57122737.590688094</v>
      </c>
      <c r="M37" s="146">
        <v>8356.5</v>
      </c>
      <c r="N37" s="58">
        <f t="shared" si="31"/>
        <v>6835.7251948409139</v>
      </c>
      <c r="O37" s="36">
        <f t="shared" si="32"/>
        <v>3.1129362430443456E-2</v>
      </c>
      <c r="P37" s="211">
        <f>SUM(H37*'Front page'!$H$10)+H37</f>
        <v>6600.6108897265603</v>
      </c>
      <c r="Q37" s="211">
        <f t="shared" si="33"/>
        <v>55158004.899999999</v>
      </c>
      <c r="R37" s="218"/>
      <c r="S37" s="5">
        <f t="shared" si="34"/>
        <v>5812965.5906880945</v>
      </c>
      <c r="T37" s="5" t="str">
        <f t="shared" si="35"/>
        <v/>
      </c>
      <c r="U37" s="5">
        <f t="shared" si="36"/>
        <v>3848232.8999999985</v>
      </c>
      <c r="V37" s="5">
        <f t="shared" si="37"/>
        <v>-1964732.690688096</v>
      </c>
      <c r="W37" s="55">
        <f t="shared" si="38"/>
        <v>0.11329158879692731</v>
      </c>
      <c r="X37" s="6">
        <f t="shared" si="39"/>
        <v>55158004.899999999</v>
      </c>
      <c r="Y37" s="5">
        <f t="shared" si="40"/>
        <v>55158004.899999999</v>
      </c>
      <c r="Z37" s="57">
        <f t="shared" si="41"/>
        <v>3848232.8999999985</v>
      </c>
      <c r="AA37" s="5">
        <f t="shared" si="42"/>
        <v>-1964732.690688096</v>
      </c>
      <c r="AB37" s="58">
        <f>SUM(F37*'Front page'!$H$11)+F37</f>
        <v>52335967.439999998</v>
      </c>
      <c r="AC37" s="58">
        <f t="shared" si="43"/>
        <v>57122737.590688094</v>
      </c>
      <c r="AD37" s="58">
        <f t="shared" si="44"/>
        <v>55158004.899999999</v>
      </c>
      <c r="AE37" s="58">
        <f t="shared" si="45"/>
        <v>5812965.5906880945</v>
      </c>
      <c r="AF37" s="56">
        <f t="shared" si="46"/>
        <v>0.11329158879692731</v>
      </c>
      <c r="AG37" s="58">
        <f t="shared" si="47"/>
        <v>3848232.8999999985</v>
      </c>
      <c r="AH37" s="56">
        <f t="shared" si="48"/>
        <v>7.4999999999999969E-2</v>
      </c>
    </row>
    <row r="38" spans="1:34">
      <c r="A38" t="str">
        <f t="shared" si="25"/>
        <v>148</v>
      </c>
      <c r="B38">
        <f t="shared" si="26"/>
        <v>148</v>
      </c>
      <c r="C38" s="15" t="s">
        <v>47</v>
      </c>
      <c r="D38" s="155">
        <v>3551647.9</v>
      </c>
      <c r="E38" s="155">
        <v>383152.35</v>
      </c>
      <c r="F38" s="155">
        <f t="shared" si="2"/>
        <v>3934800.25</v>
      </c>
      <c r="G38" s="238">
        <v>490.5</v>
      </c>
      <c r="H38" s="239">
        <f t="shared" si="27"/>
        <v>8022.0188583078489</v>
      </c>
      <c r="I38" s="213">
        <f t="shared" si="28"/>
        <v>2.2535052794466926E-3</v>
      </c>
      <c r="J38" s="5">
        <f>Calculations!AS38</f>
        <v>3771421.8155065323</v>
      </c>
      <c r="K38" s="5">
        <f t="shared" si="29"/>
        <v>418382.05912544997</v>
      </c>
      <c r="L38" s="5">
        <f t="shared" si="30"/>
        <v>4189803.8746319823</v>
      </c>
      <c r="M38" s="146">
        <v>490.5</v>
      </c>
      <c r="N38" s="58">
        <f t="shared" si="31"/>
        <v>8541.9039238164769</v>
      </c>
      <c r="O38" s="36">
        <f t="shared" si="32"/>
        <v>2.2832575753014457E-3</v>
      </c>
      <c r="P38" s="211">
        <f>SUM(H38*'Front page'!$H$10)+H38</f>
        <v>8623.6702726809381</v>
      </c>
      <c r="Q38" s="211">
        <f t="shared" si="33"/>
        <v>4189803.8746319818</v>
      </c>
      <c r="R38" s="218"/>
      <c r="S38" s="5">
        <f t="shared" si="34"/>
        <v>255003.6246319823</v>
      </c>
      <c r="T38" s="5" t="str">
        <f t="shared" si="35"/>
        <v/>
      </c>
      <c r="U38" s="5">
        <f t="shared" si="36"/>
        <v>255003.62463198183</v>
      </c>
      <c r="V38" s="5">
        <f t="shared" si="37"/>
        <v>-4.6566128730773926E-10</v>
      </c>
      <c r="W38" s="55">
        <f t="shared" si="38"/>
        <v>6.4807260452924467E-2</v>
      </c>
      <c r="X38" s="6">
        <f t="shared" si="39"/>
        <v>4229910.2687499998</v>
      </c>
      <c r="Y38" s="5">
        <f t="shared" si="40"/>
        <v>4189803.8746319823</v>
      </c>
      <c r="Z38" s="57">
        <f t="shared" si="41"/>
        <v>255003.6246319823</v>
      </c>
      <c r="AA38" s="5">
        <f t="shared" si="42"/>
        <v>0</v>
      </c>
      <c r="AB38" s="58">
        <f>SUM(F38*'Front page'!$H$11)+F38</f>
        <v>4013496.2549999999</v>
      </c>
      <c r="AC38" s="58">
        <f t="shared" si="43"/>
        <v>4189803.8746319823</v>
      </c>
      <c r="AD38" s="58">
        <f t="shared" si="44"/>
        <v>4189803.8746319818</v>
      </c>
      <c r="AE38" s="58">
        <f t="shared" si="45"/>
        <v>255003.6246319823</v>
      </c>
      <c r="AF38" s="56">
        <f t="shared" si="46"/>
        <v>6.4807260452924467E-2</v>
      </c>
      <c r="AG38" s="58">
        <f t="shared" si="47"/>
        <v>255003.62463198183</v>
      </c>
      <c r="AH38" s="56">
        <f t="shared" si="48"/>
        <v>6.4807260452924342E-2</v>
      </c>
    </row>
    <row r="39" spans="1:34">
      <c r="A39" t="str">
        <f t="shared" si="25"/>
        <v>149</v>
      </c>
      <c r="B39">
        <f t="shared" si="26"/>
        <v>149</v>
      </c>
      <c r="C39" s="15" t="s">
        <v>48</v>
      </c>
      <c r="D39" s="155">
        <v>1513242.93</v>
      </c>
      <c r="E39" s="155">
        <v>172623.7</v>
      </c>
      <c r="F39" s="155">
        <f t="shared" si="2"/>
        <v>1685866.63</v>
      </c>
      <c r="G39" s="238">
        <v>157.5</v>
      </c>
      <c r="H39" s="239">
        <f t="shared" si="27"/>
        <v>10703.91511111111</v>
      </c>
      <c r="I39" s="213">
        <f t="shared" si="28"/>
        <v>9.6551517479140229E-4</v>
      </c>
      <c r="J39" s="5">
        <f>Calculations!AS39</f>
        <v>1499227.6228510975</v>
      </c>
      <c r="K39" s="5">
        <f t="shared" si="29"/>
        <v>188495.93134390001</v>
      </c>
      <c r="L39" s="5">
        <f t="shared" si="30"/>
        <v>1687723.5541949975</v>
      </c>
      <c r="M39" s="146">
        <v>157.5</v>
      </c>
      <c r="N39" s="58">
        <f t="shared" si="31"/>
        <v>10715.705105999985</v>
      </c>
      <c r="O39" s="36">
        <f t="shared" si="32"/>
        <v>9.1973459986092706E-4</v>
      </c>
      <c r="P39" s="211">
        <f>SUM(H39*'Front page'!$H$10)+H39</f>
        <v>11506.708744444442</v>
      </c>
      <c r="Q39" s="211">
        <f t="shared" si="33"/>
        <v>1687723.5541949975</v>
      </c>
      <c r="R39" s="218"/>
      <c r="S39" s="5">
        <f t="shared" si="34"/>
        <v>1856.9241949976422</v>
      </c>
      <c r="T39" s="5" t="str">
        <f t="shared" si="35"/>
        <v/>
      </c>
      <c r="U39" s="5">
        <f t="shared" si="36"/>
        <v>1856.9241949976422</v>
      </c>
      <c r="V39" s="5">
        <f t="shared" si="37"/>
        <v>0</v>
      </c>
      <c r="W39" s="55">
        <f t="shared" si="38"/>
        <v>1.1014656568637594E-3</v>
      </c>
      <c r="X39" s="6">
        <f t="shared" si="39"/>
        <v>1812306.6272499999</v>
      </c>
      <c r="Y39" s="5">
        <f t="shared" si="40"/>
        <v>1687723.5541949975</v>
      </c>
      <c r="Z39" s="57">
        <f t="shared" si="41"/>
        <v>1856.9241949976422</v>
      </c>
      <c r="AA39" s="5">
        <f t="shared" si="42"/>
        <v>0</v>
      </c>
      <c r="AB39" s="58">
        <f>SUM(F39*'Front page'!$H$11)+F39</f>
        <v>1719583.9626</v>
      </c>
      <c r="AC39" s="58">
        <f t="shared" si="43"/>
        <v>1719583.9626</v>
      </c>
      <c r="AD39" s="58">
        <f t="shared" si="44"/>
        <v>1719583.9626</v>
      </c>
      <c r="AE39" s="58">
        <f t="shared" si="45"/>
        <v>33717.332600000082</v>
      </c>
      <c r="AF39" s="56">
        <f t="shared" si="46"/>
        <v>2.0000000000000049E-2</v>
      </c>
      <c r="AG39" s="58">
        <f t="shared" si="47"/>
        <v>33717.332600000082</v>
      </c>
      <c r="AH39" s="56">
        <f t="shared" si="48"/>
        <v>2.0000000000000049E-2</v>
      </c>
    </row>
    <row r="40" spans="1:34">
      <c r="A40" t="str">
        <f t="shared" si="25"/>
        <v>150</v>
      </c>
      <c r="B40">
        <f t="shared" si="26"/>
        <v>150</v>
      </c>
      <c r="C40" s="15" t="s">
        <v>49</v>
      </c>
      <c r="D40" s="155">
        <v>4667848.3500000006</v>
      </c>
      <c r="E40" s="155">
        <v>652254.32999999996</v>
      </c>
      <c r="F40" s="155">
        <f t="shared" si="2"/>
        <v>5320102.6800000006</v>
      </c>
      <c r="G40" s="238">
        <v>806</v>
      </c>
      <c r="H40" s="239">
        <f t="shared" si="27"/>
        <v>6600.6236724565761</v>
      </c>
      <c r="I40" s="213">
        <f t="shared" si="28"/>
        <v>3.0468838860571129E-3</v>
      </c>
      <c r="J40" s="5">
        <f>Calculations!AS40</f>
        <v>4803588.6421337435</v>
      </c>
      <c r="K40" s="5">
        <f t="shared" si="29"/>
        <v>712227.1588805099</v>
      </c>
      <c r="L40" s="5">
        <f t="shared" si="30"/>
        <v>5515815.8010142539</v>
      </c>
      <c r="M40" s="146">
        <v>806</v>
      </c>
      <c r="N40" s="58">
        <f t="shared" si="31"/>
        <v>6843.4439218539128</v>
      </c>
      <c r="O40" s="36">
        <f t="shared" si="32"/>
        <v>3.0058753556189842E-3</v>
      </c>
      <c r="P40" s="211">
        <f>SUM(H40*'Front page'!$H$10)+H40</f>
        <v>7095.6704478908196</v>
      </c>
      <c r="Q40" s="211">
        <f t="shared" si="33"/>
        <v>5515815.8010142539</v>
      </c>
      <c r="R40" s="218"/>
      <c r="S40" s="5">
        <f t="shared" si="34"/>
        <v>195713.12101425324</v>
      </c>
      <c r="T40" s="5" t="str">
        <f t="shared" si="35"/>
        <v/>
      </c>
      <c r="U40" s="5">
        <f t="shared" si="36"/>
        <v>195713.12101425324</v>
      </c>
      <c r="V40" s="5">
        <f t="shared" si="37"/>
        <v>0</v>
      </c>
      <c r="W40" s="55">
        <f t="shared" si="38"/>
        <v>3.6787470615934278E-2</v>
      </c>
      <c r="X40" s="6">
        <f t="shared" si="39"/>
        <v>5719110.381000001</v>
      </c>
      <c r="Y40" s="5">
        <f t="shared" si="40"/>
        <v>5515815.8010142539</v>
      </c>
      <c r="Z40" s="57">
        <f t="shared" si="41"/>
        <v>195713.12101425324</v>
      </c>
      <c r="AA40" s="5">
        <f t="shared" si="42"/>
        <v>0</v>
      </c>
      <c r="AB40" s="58">
        <f>SUM(F40*'Front page'!$H$11)+F40</f>
        <v>5426504.7336000009</v>
      </c>
      <c r="AC40" s="58">
        <f t="shared" si="43"/>
        <v>5515815.8010142539</v>
      </c>
      <c r="AD40" s="58">
        <f t="shared" si="44"/>
        <v>5515815.8010142539</v>
      </c>
      <c r="AE40" s="58">
        <f t="shared" si="45"/>
        <v>195713.12101425324</v>
      </c>
      <c r="AF40" s="56">
        <f t="shared" si="46"/>
        <v>3.6787470615934278E-2</v>
      </c>
      <c r="AG40" s="58">
        <f t="shared" si="47"/>
        <v>195713.12101425324</v>
      </c>
      <c r="AH40" s="56">
        <f t="shared" si="48"/>
        <v>3.6787470615934278E-2</v>
      </c>
    </row>
    <row r="41" spans="1:34">
      <c r="A41" t="str">
        <f t="shared" si="25"/>
        <v>151</v>
      </c>
      <c r="B41">
        <f t="shared" si="26"/>
        <v>151</v>
      </c>
      <c r="C41" s="15" t="s">
        <v>50</v>
      </c>
      <c r="D41" s="155">
        <v>28716163.939999998</v>
      </c>
      <c r="E41" s="155">
        <v>3122357.82</v>
      </c>
      <c r="F41" s="155">
        <f t="shared" si="2"/>
        <v>31838521.759999998</v>
      </c>
      <c r="G41" s="238">
        <v>5220.5</v>
      </c>
      <c r="H41" s="239">
        <f t="shared" si="27"/>
        <v>6098.749499090125</v>
      </c>
      <c r="I41" s="213">
        <f t="shared" si="28"/>
        <v>1.8234286956736467E-2</v>
      </c>
      <c r="J41" s="5">
        <f>Calculations!AS41</f>
        <v>29615749.892586943</v>
      </c>
      <c r="K41" s="5">
        <f t="shared" si="29"/>
        <v>3409449.25447554</v>
      </c>
      <c r="L41" s="5">
        <f t="shared" si="30"/>
        <v>33025199.147062484</v>
      </c>
      <c r="M41" s="146">
        <v>5220.5</v>
      </c>
      <c r="N41" s="58">
        <f t="shared" si="31"/>
        <v>6326.0605587707087</v>
      </c>
      <c r="O41" s="36">
        <f t="shared" si="32"/>
        <v>1.7997271085867371E-2</v>
      </c>
      <c r="P41" s="211">
        <f>SUM(H41*'Front page'!$H$10)+H41</f>
        <v>6556.1557115218848</v>
      </c>
      <c r="Q41" s="211">
        <f t="shared" si="33"/>
        <v>33025199.147062484</v>
      </c>
      <c r="R41" s="218"/>
      <c r="S41" s="5">
        <f t="shared" si="34"/>
        <v>1186677.3870624863</v>
      </c>
      <c r="T41" s="5" t="str">
        <f t="shared" si="35"/>
        <v/>
      </c>
      <c r="U41" s="5">
        <f t="shared" si="36"/>
        <v>1186677.3870624863</v>
      </c>
      <c r="V41" s="5">
        <f t="shared" si="37"/>
        <v>0</v>
      </c>
      <c r="W41" s="55">
        <f t="shared" si="38"/>
        <v>3.727174885843338E-2</v>
      </c>
      <c r="X41" s="6">
        <f t="shared" si="39"/>
        <v>34226410.891999997</v>
      </c>
      <c r="Y41" s="5">
        <f t="shared" si="40"/>
        <v>33025199.147062484</v>
      </c>
      <c r="Z41" s="57">
        <f t="shared" si="41"/>
        <v>1186677.3870624863</v>
      </c>
      <c r="AA41" s="5">
        <f t="shared" si="42"/>
        <v>0</v>
      </c>
      <c r="AB41" s="58">
        <f>SUM(F41*'Front page'!$H$11)+F41</f>
        <v>32475292.195199996</v>
      </c>
      <c r="AC41" s="58">
        <f t="shared" si="43"/>
        <v>33025199.147062484</v>
      </c>
      <c r="AD41" s="58">
        <f t="shared" si="44"/>
        <v>33025199.147062484</v>
      </c>
      <c r="AE41" s="58">
        <f t="shared" si="45"/>
        <v>1186677.3870624863</v>
      </c>
      <c r="AF41" s="56">
        <f t="shared" si="46"/>
        <v>3.727174885843338E-2</v>
      </c>
      <c r="AG41" s="58">
        <f t="shared" si="47"/>
        <v>1186677.3870624863</v>
      </c>
      <c r="AH41" s="56">
        <f t="shared" si="48"/>
        <v>3.727174885843338E-2</v>
      </c>
    </row>
    <row r="42" spans="1:34">
      <c r="A42" t="str">
        <f t="shared" si="25"/>
        <v>161</v>
      </c>
      <c r="B42">
        <f t="shared" si="26"/>
        <v>161</v>
      </c>
      <c r="C42" s="15" t="s">
        <v>51</v>
      </c>
      <c r="D42" s="155">
        <v>1436622.92</v>
      </c>
      <c r="E42" s="155">
        <v>157618.51</v>
      </c>
      <c r="F42" s="155">
        <f t="shared" si="2"/>
        <v>1594241.43</v>
      </c>
      <c r="G42" s="238">
        <v>131</v>
      </c>
      <c r="H42" s="239">
        <f t="shared" si="27"/>
        <v>12169.781908396946</v>
      </c>
      <c r="I42" s="213">
        <f t="shared" si="28"/>
        <v>9.1304037078315337E-4</v>
      </c>
      <c r="J42" s="5">
        <f>Calculations!AS42</f>
        <v>1316528.8226894911</v>
      </c>
      <c r="K42" s="5">
        <f t="shared" si="29"/>
        <v>172111.05913897001</v>
      </c>
      <c r="L42" s="5">
        <f t="shared" si="30"/>
        <v>1488639.8818284611</v>
      </c>
      <c r="M42" s="146">
        <v>131</v>
      </c>
      <c r="N42" s="58">
        <f t="shared" si="31"/>
        <v>11363.663220064589</v>
      </c>
      <c r="O42" s="36">
        <f t="shared" si="32"/>
        <v>8.1124281440959683E-4</v>
      </c>
      <c r="P42" s="211">
        <f>SUM(H42*'Front page'!$H$10)+H42</f>
        <v>13082.515551526718</v>
      </c>
      <c r="Q42" s="211">
        <f t="shared" si="33"/>
        <v>1488639.8818284611</v>
      </c>
      <c r="R42" s="218"/>
      <c r="S42" s="5">
        <f t="shared" si="34"/>
        <v>-105601.54817153886</v>
      </c>
      <c r="T42" s="5">
        <f t="shared" si="35"/>
        <v>-105601.54817153886</v>
      </c>
      <c r="U42" s="5">
        <f t="shared" si="36"/>
        <v>-105601.54817153886</v>
      </c>
      <c r="V42" s="5">
        <f t="shared" si="37"/>
        <v>0</v>
      </c>
      <c r="W42" s="55">
        <f t="shared" si="38"/>
        <v>-6.623937013827251E-2</v>
      </c>
      <c r="X42" s="6">
        <f t="shared" si="39"/>
        <v>1713809.5372499998</v>
      </c>
      <c r="Y42" s="5">
        <f t="shared" si="40"/>
        <v>1488639.8818284611</v>
      </c>
      <c r="Z42" s="57">
        <f t="shared" si="41"/>
        <v>-105601.54817153886</v>
      </c>
      <c r="AA42" s="5">
        <f t="shared" si="42"/>
        <v>0</v>
      </c>
      <c r="AB42" s="58">
        <f>SUM(F42*'Front page'!$H$11)+F42</f>
        <v>1626126.2585999998</v>
      </c>
      <c r="AC42" s="58">
        <f t="shared" si="43"/>
        <v>1626126.2585999998</v>
      </c>
      <c r="AD42" s="58">
        <f t="shared" si="44"/>
        <v>1626126.2585999998</v>
      </c>
      <c r="AE42" s="58">
        <f t="shared" si="45"/>
        <v>31884.828599999892</v>
      </c>
      <c r="AF42" s="56">
        <f t="shared" si="46"/>
        <v>1.9999999999999934E-2</v>
      </c>
      <c r="AG42" s="58">
        <f t="shared" si="47"/>
        <v>31884.828599999892</v>
      </c>
      <c r="AH42" s="56">
        <f t="shared" si="48"/>
        <v>1.9999999999999934E-2</v>
      </c>
    </row>
    <row r="43" spans="1:34">
      <c r="A43" t="str">
        <f t="shared" si="25"/>
        <v>171</v>
      </c>
      <c r="B43">
        <f t="shared" si="26"/>
        <v>171</v>
      </c>
      <c r="C43" s="15" t="s">
        <v>52</v>
      </c>
      <c r="D43" s="155">
        <v>8279893.040000001</v>
      </c>
      <c r="E43" s="155">
        <v>867421.18</v>
      </c>
      <c r="F43" s="155">
        <f>(D43+E43)-1600000</f>
        <v>7547314.2200000007</v>
      </c>
      <c r="G43" s="238">
        <v>1086.5</v>
      </c>
      <c r="H43" s="239">
        <f t="shared" si="27"/>
        <v>6946.4465899677871</v>
      </c>
      <c r="I43" s="213">
        <f t="shared" si="28"/>
        <v>4.3224335061006203E-3</v>
      </c>
      <c r="J43" s="5">
        <f>Calculations!AS43</f>
        <v>6433724.5336020468</v>
      </c>
      <c r="K43" s="5">
        <f t="shared" si="29"/>
        <v>947177.95523746009</v>
      </c>
      <c r="L43" s="5">
        <f t="shared" si="30"/>
        <v>7380902.4888395071</v>
      </c>
      <c r="M43" s="146">
        <v>1086.5</v>
      </c>
      <c r="N43" s="58">
        <f t="shared" si="31"/>
        <v>6793.2834687892382</v>
      </c>
      <c r="O43" s="36">
        <f t="shared" si="32"/>
        <v>4.0222650091668944E-3</v>
      </c>
      <c r="P43" s="211">
        <f>SUM(H43*'Front page'!$H$10)+H43</f>
        <v>7467.4300842153707</v>
      </c>
      <c r="Q43" s="211">
        <f t="shared" si="33"/>
        <v>7380902.4888395071</v>
      </c>
      <c r="R43" s="218"/>
      <c r="S43" s="5">
        <f t="shared" si="34"/>
        <v>-166411.73116049357</v>
      </c>
      <c r="T43" s="5">
        <f t="shared" si="35"/>
        <v>-166411.73116049357</v>
      </c>
      <c r="U43" s="5">
        <f t="shared" si="36"/>
        <v>-166411.73116049357</v>
      </c>
      <c r="V43" s="5">
        <f t="shared" si="37"/>
        <v>0</v>
      </c>
      <c r="W43" s="55">
        <f t="shared" si="38"/>
        <v>-2.2049132487357011E-2</v>
      </c>
      <c r="X43" s="6">
        <f t="shared" si="39"/>
        <v>8113362.7865000004</v>
      </c>
      <c r="Y43" s="5">
        <f t="shared" si="40"/>
        <v>7380902.4888395071</v>
      </c>
      <c r="Z43" s="57">
        <f t="shared" si="41"/>
        <v>-166411.73116049357</v>
      </c>
      <c r="AA43" s="5">
        <f t="shared" si="42"/>
        <v>0</v>
      </c>
      <c r="AB43" s="58">
        <f>SUM(F43*'Front page'!$H$11)+F43</f>
        <v>7698260.5044000009</v>
      </c>
      <c r="AC43" s="58">
        <f t="shared" si="43"/>
        <v>7698260.5044000009</v>
      </c>
      <c r="AD43" s="58">
        <f t="shared" si="44"/>
        <v>7698260.5044000009</v>
      </c>
      <c r="AE43" s="58">
        <f t="shared" si="45"/>
        <v>150946.28440000024</v>
      </c>
      <c r="AF43" s="56">
        <f t="shared" si="46"/>
        <v>2.0000000000000028E-2</v>
      </c>
      <c r="AG43" s="58">
        <f t="shared" si="47"/>
        <v>150946.28440000024</v>
      </c>
      <c r="AH43" s="56">
        <f t="shared" si="48"/>
        <v>2.0000000000000028E-2</v>
      </c>
    </row>
    <row r="44" spans="1:34">
      <c r="A44" t="str">
        <f t="shared" si="25"/>
        <v>181</v>
      </c>
      <c r="B44">
        <f t="shared" si="26"/>
        <v>181</v>
      </c>
      <c r="C44" s="15" t="s">
        <v>53</v>
      </c>
      <c r="D44" s="155">
        <v>2438380.59</v>
      </c>
      <c r="E44" s="155">
        <v>315639.38</v>
      </c>
      <c r="F44" s="155">
        <f t="shared" ref="F44:F75" si="49">D44+E44</f>
        <v>2754019.9699999997</v>
      </c>
      <c r="G44" s="238">
        <v>331.5</v>
      </c>
      <c r="H44" s="239">
        <f t="shared" si="27"/>
        <v>8307.7525490196076</v>
      </c>
      <c r="I44" s="213">
        <f t="shared" si="28"/>
        <v>1.5772588563032193E-3</v>
      </c>
      <c r="J44" s="5">
        <f>Calculations!AS44</f>
        <v>2471561.1889884719</v>
      </c>
      <c r="K44" s="5">
        <f t="shared" si="29"/>
        <v>344661.47407286003</v>
      </c>
      <c r="L44" s="5">
        <f t="shared" si="30"/>
        <v>2816222.663061332</v>
      </c>
      <c r="M44" s="146">
        <v>331.5</v>
      </c>
      <c r="N44" s="58">
        <f t="shared" si="31"/>
        <v>8495.392648752133</v>
      </c>
      <c r="O44" s="36">
        <f t="shared" si="32"/>
        <v>1.5347166410588132E-3</v>
      </c>
      <c r="P44" s="211">
        <f>SUM(H44*'Front page'!$H$10)+H44</f>
        <v>8930.833990196079</v>
      </c>
      <c r="Q44" s="211">
        <f t="shared" si="33"/>
        <v>2816222.663061332</v>
      </c>
      <c r="R44" s="218"/>
      <c r="S44" s="5">
        <f t="shared" si="34"/>
        <v>62202.693061332218</v>
      </c>
      <c r="T44" s="5" t="str">
        <f t="shared" si="35"/>
        <v/>
      </c>
      <c r="U44" s="5">
        <f t="shared" si="36"/>
        <v>62202.693061332218</v>
      </c>
      <c r="V44" s="5">
        <f t="shared" si="37"/>
        <v>0</v>
      </c>
      <c r="W44" s="55">
        <f t="shared" si="38"/>
        <v>2.2586144522885297E-2</v>
      </c>
      <c r="X44" s="6">
        <f t="shared" si="39"/>
        <v>2960571.4677499998</v>
      </c>
      <c r="Y44" s="5">
        <f t="shared" si="40"/>
        <v>2816222.663061332</v>
      </c>
      <c r="Z44" s="57">
        <f t="shared" si="41"/>
        <v>62202.693061332218</v>
      </c>
      <c r="AA44" s="5">
        <f t="shared" si="42"/>
        <v>0</v>
      </c>
      <c r="AB44" s="58">
        <f>SUM(F44*'Front page'!$H$11)+F44</f>
        <v>2809100.3693999997</v>
      </c>
      <c r="AC44" s="58">
        <f t="shared" si="43"/>
        <v>2816222.663061332</v>
      </c>
      <c r="AD44" s="58">
        <f t="shared" si="44"/>
        <v>2816222.663061332</v>
      </c>
      <c r="AE44" s="58">
        <f t="shared" si="45"/>
        <v>62202.693061332218</v>
      </c>
      <c r="AF44" s="56">
        <f t="shared" si="46"/>
        <v>2.2586144522885297E-2</v>
      </c>
      <c r="AG44" s="58">
        <f t="shared" si="47"/>
        <v>62202.693061332218</v>
      </c>
      <c r="AH44" s="56">
        <f t="shared" si="48"/>
        <v>2.2586144522885297E-2</v>
      </c>
    </row>
    <row r="45" spans="1:34">
      <c r="A45" t="str">
        <f t="shared" si="25"/>
        <v>182</v>
      </c>
      <c r="B45">
        <f t="shared" si="26"/>
        <v>182</v>
      </c>
      <c r="C45" s="15" t="s">
        <v>54</v>
      </c>
      <c r="D45" s="155">
        <v>1714213.1600000001</v>
      </c>
      <c r="E45" s="155">
        <v>219779.22</v>
      </c>
      <c r="F45" s="155">
        <f t="shared" si="49"/>
        <v>1933992.3800000001</v>
      </c>
      <c r="G45" s="238">
        <v>203.5</v>
      </c>
      <c r="H45" s="239">
        <f t="shared" si="27"/>
        <v>9503.6480589680596</v>
      </c>
      <c r="I45" s="213">
        <f t="shared" si="28"/>
        <v>1.1076196406004787E-3</v>
      </c>
      <c r="J45" s="5">
        <f>Calculations!AS45</f>
        <v>1680580.4967488674</v>
      </c>
      <c r="K45" s="5">
        <f t="shared" si="29"/>
        <v>239987.25994133999</v>
      </c>
      <c r="L45" s="5">
        <f t="shared" si="30"/>
        <v>1920567.7566902074</v>
      </c>
      <c r="M45" s="146">
        <v>203.5</v>
      </c>
      <c r="N45" s="58">
        <f t="shared" si="31"/>
        <v>9437.6793940550724</v>
      </c>
      <c r="O45" s="36">
        <f t="shared" si="32"/>
        <v>1.0466243792205659E-3</v>
      </c>
      <c r="P45" s="211">
        <f>SUM(H45*'Front page'!$H$10)+H45</f>
        <v>10216.421663390664</v>
      </c>
      <c r="Q45" s="211">
        <f t="shared" si="33"/>
        <v>1920567.7566902072</v>
      </c>
      <c r="R45" s="218"/>
      <c r="S45" s="5">
        <f t="shared" si="34"/>
        <v>-13424.623309792718</v>
      </c>
      <c r="T45" s="5">
        <f t="shared" si="35"/>
        <v>-13424.623309792718</v>
      </c>
      <c r="U45" s="5">
        <f t="shared" si="36"/>
        <v>-13424.623309792951</v>
      </c>
      <c r="V45" s="5">
        <f t="shared" si="37"/>
        <v>-2.3283064365386963E-10</v>
      </c>
      <c r="W45" s="55">
        <f t="shared" si="38"/>
        <v>-6.941404448446026E-3</v>
      </c>
      <c r="X45" s="6">
        <f t="shared" si="39"/>
        <v>2079041.8085</v>
      </c>
      <c r="Y45" s="5">
        <f t="shared" si="40"/>
        <v>1920567.7566902074</v>
      </c>
      <c r="Z45" s="57">
        <f t="shared" si="41"/>
        <v>-13424.623309792718</v>
      </c>
      <c r="AA45" s="5">
        <f t="shared" si="42"/>
        <v>0</v>
      </c>
      <c r="AB45" s="58">
        <f>SUM(F45*'Front page'!$H$11)+F45</f>
        <v>1972672.2276000001</v>
      </c>
      <c r="AC45" s="58">
        <f t="shared" si="43"/>
        <v>1972672.2276000001</v>
      </c>
      <c r="AD45" s="58">
        <f t="shared" si="44"/>
        <v>1972672.2276000001</v>
      </c>
      <c r="AE45" s="58">
        <f t="shared" si="45"/>
        <v>38679.847599999979</v>
      </c>
      <c r="AF45" s="56">
        <f t="shared" si="46"/>
        <v>1.9999999999999987E-2</v>
      </c>
      <c r="AG45" s="58">
        <f t="shared" si="47"/>
        <v>38679.847599999979</v>
      </c>
      <c r="AH45" s="56">
        <f t="shared" si="48"/>
        <v>1.9999999999999987E-2</v>
      </c>
    </row>
    <row r="46" spans="1:34">
      <c r="A46" t="str">
        <f t="shared" si="25"/>
        <v>191</v>
      </c>
      <c r="B46">
        <f t="shared" si="26"/>
        <v>191</v>
      </c>
      <c r="C46" s="15" t="s">
        <v>55</v>
      </c>
      <c r="D46" s="155">
        <v>145029.96000000002</v>
      </c>
      <c r="E46" s="155">
        <v>10925</v>
      </c>
      <c r="F46" s="155">
        <f t="shared" si="49"/>
        <v>155954.96000000002</v>
      </c>
      <c r="G46" s="238">
        <v>3</v>
      </c>
      <c r="H46" s="239">
        <f t="shared" si="27"/>
        <v>51984.986666666671</v>
      </c>
      <c r="I46" s="213">
        <f t="shared" si="28"/>
        <v>8.9317196143793521E-5</v>
      </c>
      <c r="J46" s="5">
        <f>Calculations!AS46</f>
        <v>138319.36947722314</v>
      </c>
      <c r="K46" s="5">
        <f t="shared" si="29"/>
        <v>11929.520974999999</v>
      </c>
      <c r="L46" s="5">
        <f t="shared" si="30"/>
        <v>150248.89045222313</v>
      </c>
      <c r="M46" s="146">
        <v>3</v>
      </c>
      <c r="N46" s="58">
        <f t="shared" si="31"/>
        <v>50082.963484074375</v>
      </c>
      <c r="O46" s="36">
        <f t="shared" si="32"/>
        <v>8.1878991850378309E-5</v>
      </c>
      <c r="P46" s="211">
        <f>SUM(H46*'Front page'!$H$10)+H46</f>
        <v>55883.860666666675</v>
      </c>
      <c r="Q46" s="211">
        <f t="shared" si="33"/>
        <v>150248.89045222313</v>
      </c>
      <c r="R46" s="218"/>
      <c r="S46" s="5">
        <f t="shared" si="34"/>
        <v>-5706.0695477768895</v>
      </c>
      <c r="T46" s="5">
        <f t="shared" si="35"/>
        <v>-5706.0695477768895</v>
      </c>
      <c r="U46" s="5">
        <f t="shared" si="36"/>
        <v>-5706.0695477768895</v>
      </c>
      <c r="V46" s="5">
        <f t="shared" si="37"/>
        <v>0</v>
      </c>
      <c r="W46" s="55">
        <f t="shared" si="38"/>
        <v>-3.6587932488821702E-2</v>
      </c>
      <c r="X46" s="6">
        <f t="shared" si="39"/>
        <v>167651.58200000002</v>
      </c>
      <c r="Y46" s="5">
        <f t="shared" si="40"/>
        <v>150248.89045222313</v>
      </c>
      <c r="Z46" s="57">
        <f t="shared" si="41"/>
        <v>-5706.0695477768895</v>
      </c>
      <c r="AA46" s="5">
        <f t="shared" si="42"/>
        <v>0</v>
      </c>
      <c r="AB46" s="58">
        <f>SUM(F46*'Front page'!$H$11)+F46</f>
        <v>159074.05920000002</v>
      </c>
      <c r="AC46" s="58">
        <f t="shared" si="43"/>
        <v>159074.05920000002</v>
      </c>
      <c r="AD46" s="58">
        <f t="shared" si="44"/>
        <v>159074.05920000002</v>
      </c>
      <c r="AE46" s="58">
        <f t="shared" si="45"/>
        <v>3119.0991999999969</v>
      </c>
      <c r="AF46" s="56">
        <f t="shared" si="46"/>
        <v>1.9999999999999976E-2</v>
      </c>
      <c r="AG46" s="58">
        <f t="shared" si="47"/>
        <v>3119.0991999999969</v>
      </c>
      <c r="AH46" s="56">
        <f t="shared" si="48"/>
        <v>1.9999999999999976E-2</v>
      </c>
    </row>
    <row r="47" spans="1:34">
      <c r="A47" t="str">
        <f t="shared" si="25"/>
        <v>192</v>
      </c>
      <c r="B47">
        <f t="shared" si="26"/>
        <v>192</v>
      </c>
      <c r="C47" s="15" t="s">
        <v>56</v>
      </c>
      <c r="D47" s="155">
        <v>2765663.3800000004</v>
      </c>
      <c r="E47" s="155">
        <v>324038.24000000005</v>
      </c>
      <c r="F47" s="155">
        <f t="shared" si="49"/>
        <v>3089701.6200000006</v>
      </c>
      <c r="G47" s="238">
        <v>397.5</v>
      </c>
      <c r="H47" s="239">
        <f t="shared" si="27"/>
        <v>7772.8342641509453</v>
      </c>
      <c r="I47" s="213">
        <f t="shared" si="28"/>
        <v>1.7695075912900534E-3</v>
      </c>
      <c r="J47" s="5">
        <f>Calculations!AS47</f>
        <v>2817174.6271672221</v>
      </c>
      <c r="K47" s="5">
        <f t="shared" si="29"/>
        <v>353832.58405328006</v>
      </c>
      <c r="L47" s="5">
        <f t="shared" si="30"/>
        <v>3171007.2112205019</v>
      </c>
      <c r="M47" s="146">
        <v>397.5</v>
      </c>
      <c r="N47" s="58">
        <f t="shared" si="31"/>
        <v>7977.3766320012628</v>
      </c>
      <c r="O47" s="36">
        <f t="shared" si="32"/>
        <v>1.7280585089417052E-3</v>
      </c>
      <c r="P47" s="211">
        <f>SUM(H47*'Front page'!$H$10)+H47</f>
        <v>8355.7968339622657</v>
      </c>
      <c r="Q47" s="211">
        <f t="shared" si="33"/>
        <v>3171007.2112205019</v>
      </c>
      <c r="R47" s="218"/>
      <c r="S47" s="5">
        <f t="shared" si="34"/>
        <v>81305.591220501345</v>
      </c>
      <c r="T47" s="5" t="str">
        <f t="shared" si="35"/>
        <v/>
      </c>
      <c r="U47" s="5">
        <f t="shared" si="36"/>
        <v>81305.591220501345</v>
      </c>
      <c r="V47" s="5">
        <f t="shared" si="37"/>
        <v>0</v>
      </c>
      <c r="W47" s="55">
        <f t="shared" si="38"/>
        <v>2.6315030129188115E-2</v>
      </c>
      <c r="X47" s="6">
        <f t="shared" si="39"/>
        <v>3321429.2415000005</v>
      </c>
      <c r="Y47" s="5">
        <f t="shared" si="40"/>
        <v>3171007.2112205019</v>
      </c>
      <c r="Z47" s="57">
        <f t="shared" si="41"/>
        <v>81305.591220501345</v>
      </c>
      <c r="AA47" s="5">
        <f t="shared" si="42"/>
        <v>0</v>
      </c>
      <c r="AB47" s="58">
        <f>SUM(F47*'Front page'!$H$11)+F47</f>
        <v>3151495.6524000005</v>
      </c>
      <c r="AC47" s="58">
        <f t="shared" si="43"/>
        <v>3171007.2112205019</v>
      </c>
      <c r="AD47" s="58">
        <f t="shared" si="44"/>
        <v>3171007.2112205019</v>
      </c>
      <c r="AE47" s="58">
        <f t="shared" si="45"/>
        <v>81305.591220501345</v>
      </c>
      <c r="AF47" s="56">
        <f t="shared" si="46"/>
        <v>2.6315030129188115E-2</v>
      </c>
      <c r="AG47" s="58">
        <f t="shared" si="47"/>
        <v>81305.591220501345</v>
      </c>
      <c r="AH47" s="56">
        <f t="shared" si="48"/>
        <v>2.6315030129188115E-2</v>
      </c>
    </row>
    <row r="48" spans="1:34">
      <c r="A48" t="str">
        <f t="shared" si="25"/>
        <v>193</v>
      </c>
      <c r="B48">
        <f t="shared" si="26"/>
        <v>193</v>
      </c>
      <c r="C48" s="15" t="s">
        <v>57</v>
      </c>
      <c r="D48" s="155">
        <v>19118711.740000002</v>
      </c>
      <c r="E48" s="155">
        <v>1846883.99</v>
      </c>
      <c r="F48" s="155">
        <f t="shared" si="49"/>
        <v>20965595.73</v>
      </c>
      <c r="G48" s="238">
        <v>3718</v>
      </c>
      <c r="H48" s="239">
        <f t="shared" si="27"/>
        <v>5638.9445212479832</v>
      </c>
      <c r="I48" s="213">
        <f t="shared" si="28"/>
        <v>1.2007237384998141E-2</v>
      </c>
      <c r="J48" s="5">
        <f>Calculations!AS48</f>
        <v>20562481.193167958</v>
      </c>
      <c r="K48" s="5">
        <f t="shared" si="29"/>
        <v>2016699.4322285301</v>
      </c>
      <c r="L48" s="5">
        <f t="shared" si="30"/>
        <v>22579180.62539649</v>
      </c>
      <c r="M48" s="146">
        <v>3718</v>
      </c>
      <c r="N48" s="58">
        <f t="shared" si="31"/>
        <v>6072.9372311448333</v>
      </c>
      <c r="O48" s="36">
        <f t="shared" si="32"/>
        <v>1.2304653570822454E-2</v>
      </c>
      <c r="P48" s="211">
        <f>SUM(H48*'Front page'!$H$10)+H48</f>
        <v>6061.8653603415823</v>
      </c>
      <c r="Q48" s="211">
        <f t="shared" si="33"/>
        <v>22538015.409750003</v>
      </c>
      <c r="R48" s="218"/>
      <c r="S48" s="5">
        <f t="shared" si="34"/>
        <v>1613584.8953964897</v>
      </c>
      <c r="T48" s="5" t="str">
        <f t="shared" si="35"/>
        <v/>
      </c>
      <c r="U48" s="5">
        <f t="shared" si="36"/>
        <v>1572419.6797500029</v>
      </c>
      <c r="V48" s="5">
        <f t="shared" si="37"/>
        <v>-41165.215646486729</v>
      </c>
      <c r="W48" s="55">
        <f t="shared" si="38"/>
        <v>7.6963465106197088E-2</v>
      </c>
      <c r="X48" s="6">
        <f t="shared" si="39"/>
        <v>22538015.40975</v>
      </c>
      <c r="Y48" s="5">
        <f t="shared" si="40"/>
        <v>22538015.40975</v>
      </c>
      <c r="Z48" s="57">
        <f t="shared" si="41"/>
        <v>1572419.6797499992</v>
      </c>
      <c r="AA48" s="5">
        <f t="shared" si="42"/>
        <v>-41165.215646490455</v>
      </c>
      <c r="AB48" s="58">
        <f>SUM(F48*'Front page'!$H$11)+F48</f>
        <v>21384907.6446</v>
      </c>
      <c r="AC48" s="58">
        <f t="shared" si="43"/>
        <v>22579180.62539649</v>
      </c>
      <c r="AD48" s="58">
        <f t="shared" si="44"/>
        <v>22538015.409750003</v>
      </c>
      <c r="AE48" s="58">
        <f t="shared" si="45"/>
        <v>1613584.8953964897</v>
      </c>
      <c r="AF48" s="56">
        <f t="shared" si="46"/>
        <v>7.6963465106197088E-2</v>
      </c>
      <c r="AG48" s="58">
        <f t="shared" si="47"/>
        <v>1572419.6797500029</v>
      </c>
      <c r="AH48" s="56">
        <f t="shared" si="48"/>
        <v>7.5000000000000136E-2</v>
      </c>
    </row>
    <row r="49" spans="1:34">
      <c r="A49" t="str">
        <f t="shared" si="25"/>
        <v>201</v>
      </c>
      <c r="B49">
        <f t="shared" si="26"/>
        <v>201</v>
      </c>
      <c r="C49" s="15" t="s">
        <v>58</v>
      </c>
      <c r="D49" s="155">
        <v>11738851.609999999</v>
      </c>
      <c r="E49" s="155">
        <v>978668.56</v>
      </c>
      <c r="F49" s="155">
        <f t="shared" si="49"/>
        <v>12717520.17</v>
      </c>
      <c r="G49" s="238">
        <v>2272</v>
      </c>
      <c r="H49" s="239">
        <f t="shared" si="27"/>
        <v>5597.5000748239436</v>
      </c>
      <c r="I49" s="213">
        <f t="shared" si="28"/>
        <v>7.2834698138907559E-3</v>
      </c>
      <c r="J49" s="5">
        <f>Calculations!AS49</f>
        <v>12206141.224721834</v>
      </c>
      <c r="K49" s="5">
        <f t="shared" si="29"/>
        <v>1068654.19808632</v>
      </c>
      <c r="L49" s="5">
        <f t="shared" si="30"/>
        <v>13274795.422808154</v>
      </c>
      <c r="M49" s="146">
        <v>2272</v>
      </c>
      <c r="N49" s="58">
        <f t="shared" si="31"/>
        <v>5842.7796755317577</v>
      </c>
      <c r="O49" s="36">
        <f t="shared" si="32"/>
        <v>7.2341756599205919E-3</v>
      </c>
      <c r="P49" s="211">
        <f>SUM(H49*'Front page'!$H$10)+H49</f>
        <v>6017.3125804357396</v>
      </c>
      <c r="Q49" s="211">
        <f t="shared" si="33"/>
        <v>13274795.422808154</v>
      </c>
      <c r="R49" s="218"/>
      <c r="S49" s="5">
        <f t="shared" si="34"/>
        <v>557275.25280815363</v>
      </c>
      <c r="T49" s="5" t="str">
        <f t="shared" si="35"/>
        <v/>
      </c>
      <c r="U49" s="5">
        <f t="shared" si="36"/>
        <v>557275.25280815363</v>
      </c>
      <c r="V49" s="5">
        <f t="shared" si="37"/>
        <v>0</v>
      </c>
      <c r="W49" s="55">
        <f t="shared" si="38"/>
        <v>4.3819490384826625E-2</v>
      </c>
      <c r="X49" s="6">
        <f t="shared" si="39"/>
        <v>13671334.18275</v>
      </c>
      <c r="Y49" s="5">
        <f t="shared" si="40"/>
        <v>13274795.422808154</v>
      </c>
      <c r="Z49" s="57">
        <f t="shared" si="41"/>
        <v>557275.25280815363</v>
      </c>
      <c r="AA49" s="5">
        <f t="shared" si="42"/>
        <v>0</v>
      </c>
      <c r="AB49" s="58">
        <f>SUM(F49*'Front page'!$H$11)+F49</f>
        <v>12971870.5734</v>
      </c>
      <c r="AC49" s="58">
        <f t="shared" si="43"/>
        <v>13274795.422808154</v>
      </c>
      <c r="AD49" s="58">
        <f t="shared" si="44"/>
        <v>13274795.422808154</v>
      </c>
      <c r="AE49" s="58">
        <f t="shared" si="45"/>
        <v>557275.25280815363</v>
      </c>
      <c r="AF49" s="56">
        <f t="shared" si="46"/>
        <v>4.3819490384826625E-2</v>
      </c>
      <c r="AG49" s="58">
        <f t="shared" si="47"/>
        <v>557275.25280815363</v>
      </c>
      <c r="AH49" s="56">
        <f t="shared" si="48"/>
        <v>4.3819490384826625E-2</v>
      </c>
    </row>
    <row r="50" spans="1:34">
      <c r="A50" t="str">
        <f t="shared" si="25"/>
        <v>202</v>
      </c>
      <c r="B50">
        <f t="shared" si="26"/>
        <v>202</v>
      </c>
      <c r="C50" s="15" t="s">
        <v>59</v>
      </c>
      <c r="D50" s="155">
        <v>3913694.93</v>
      </c>
      <c r="E50" s="155">
        <v>481848.97</v>
      </c>
      <c r="F50" s="155">
        <f t="shared" si="49"/>
        <v>4395543.9000000004</v>
      </c>
      <c r="G50" s="238">
        <v>663.5</v>
      </c>
      <c r="H50" s="239">
        <f t="shared" si="27"/>
        <v>6624.7835719668428</v>
      </c>
      <c r="I50" s="213">
        <f t="shared" si="28"/>
        <v>2.5173784576967293E-3</v>
      </c>
      <c r="J50" s="5">
        <f>Calculations!AS50</f>
        <v>4467239.44004218</v>
      </c>
      <c r="K50" s="5">
        <f t="shared" si="29"/>
        <v>526153.53724459</v>
      </c>
      <c r="L50" s="5">
        <f t="shared" si="30"/>
        <v>4993392.97728677</v>
      </c>
      <c r="M50" s="146">
        <v>663.5</v>
      </c>
      <c r="N50" s="58">
        <f t="shared" si="31"/>
        <v>7525.8371925949814</v>
      </c>
      <c r="O50" s="36">
        <f t="shared" si="32"/>
        <v>2.7211780510486305E-3</v>
      </c>
      <c r="P50" s="211">
        <f>SUM(H50*'Front page'!$H$10)+H50</f>
        <v>7121.6423398643565</v>
      </c>
      <c r="Q50" s="211">
        <f t="shared" si="33"/>
        <v>4725209.6925000008</v>
      </c>
      <c r="R50" s="218"/>
      <c r="S50" s="5">
        <f t="shared" si="34"/>
        <v>597849.07728676964</v>
      </c>
      <c r="T50" s="5" t="str">
        <f t="shared" si="35"/>
        <v/>
      </c>
      <c r="U50" s="5">
        <f t="shared" si="36"/>
        <v>329665.79250000045</v>
      </c>
      <c r="V50" s="5">
        <f t="shared" si="37"/>
        <v>-268183.28478676919</v>
      </c>
      <c r="W50" s="55">
        <f t="shared" si="38"/>
        <v>0.13601253698928353</v>
      </c>
      <c r="X50" s="6">
        <f t="shared" si="39"/>
        <v>4725209.6925000008</v>
      </c>
      <c r="Y50" s="5">
        <f t="shared" si="40"/>
        <v>4725209.6925000008</v>
      </c>
      <c r="Z50" s="57">
        <f t="shared" si="41"/>
        <v>329665.79250000045</v>
      </c>
      <c r="AA50" s="5">
        <f t="shared" si="42"/>
        <v>-268183.28478676919</v>
      </c>
      <c r="AB50" s="58">
        <f>SUM(F50*'Front page'!$H$11)+F50</f>
        <v>4483454.7779999999</v>
      </c>
      <c r="AC50" s="58">
        <f t="shared" si="43"/>
        <v>4993392.97728677</v>
      </c>
      <c r="AD50" s="58">
        <f t="shared" si="44"/>
        <v>4725209.6925000008</v>
      </c>
      <c r="AE50" s="58">
        <f t="shared" si="45"/>
        <v>597849.07728676964</v>
      </c>
      <c r="AF50" s="56">
        <f t="shared" si="46"/>
        <v>0.13601253698928353</v>
      </c>
      <c r="AG50" s="58">
        <f t="shared" si="47"/>
        <v>329665.79250000045</v>
      </c>
      <c r="AH50" s="56">
        <f t="shared" si="48"/>
        <v>7.5000000000000094E-2</v>
      </c>
    </row>
    <row r="51" spans="1:34">
      <c r="A51" t="str">
        <f t="shared" si="25"/>
        <v>215</v>
      </c>
      <c r="B51">
        <f t="shared" si="26"/>
        <v>215</v>
      </c>
      <c r="C51" s="15" t="s">
        <v>60</v>
      </c>
      <c r="D51" s="155">
        <v>12108239.67</v>
      </c>
      <c r="E51" s="155">
        <v>1091248.25</v>
      </c>
      <c r="F51" s="155">
        <f t="shared" si="49"/>
        <v>13199487.92</v>
      </c>
      <c r="G51" s="238">
        <v>2054.5</v>
      </c>
      <c r="H51" s="239">
        <f t="shared" si="27"/>
        <v>6424.6716573375516</v>
      </c>
      <c r="I51" s="213">
        <f t="shared" si="28"/>
        <v>7.5594982778891618E-3</v>
      </c>
      <c r="J51" s="5">
        <f>Calculations!AS51</f>
        <v>10775679.717210962</v>
      </c>
      <c r="K51" s="5">
        <f t="shared" si="29"/>
        <v>1191585.2528427499</v>
      </c>
      <c r="L51" s="5">
        <f t="shared" si="30"/>
        <v>11967264.970053712</v>
      </c>
      <c r="M51" s="146">
        <v>2054.5</v>
      </c>
      <c r="N51" s="58">
        <f t="shared" si="31"/>
        <v>5824.9038549786865</v>
      </c>
      <c r="O51" s="36">
        <f t="shared" si="32"/>
        <v>6.5216294643182654E-3</v>
      </c>
      <c r="P51" s="211">
        <f>SUM(H51*'Front page'!$H$10)+H51</f>
        <v>6906.5220316378682</v>
      </c>
      <c r="Q51" s="211">
        <f t="shared" si="33"/>
        <v>11967264.970053712</v>
      </c>
      <c r="R51" s="218"/>
      <c r="S51" s="5">
        <f t="shared" si="34"/>
        <v>-1232222.949946288</v>
      </c>
      <c r="T51" s="5">
        <f t="shared" si="35"/>
        <v>-1232222.949946288</v>
      </c>
      <c r="U51" s="5">
        <f t="shared" si="36"/>
        <v>-1232222.949946288</v>
      </c>
      <c r="V51" s="5">
        <f t="shared" si="37"/>
        <v>0</v>
      </c>
      <c r="W51" s="55">
        <f t="shared" si="38"/>
        <v>-9.3353845044186229E-2</v>
      </c>
      <c r="X51" s="6">
        <f t="shared" si="39"/>
        <v>14189449.514</v>
      </c>
      <c r="Y51" s="5">
        <f t="shared" si="40"/>
        <v>11967264.970053712</v>
      </c>
      <c r="Z51" s="57">
        <f t="shared" si="41"/>
        <v>-1232222.949946288</v>
      </c>
      <c r="AA51" s="5">
        <f t="shared" si="42"/>
        <v>0</v>
      </c>
      <c r="AB51" s="58">
        <f>SUM(F51*'Front page'!$H$11)+F51</f>
        <v>13463477.678400001</v>
      </c>
      <c r="AC51" s="58">
        <f t="shared" si="43"/>
        <v>13463477.678400001</v>
      </c>
      <c r="AD51" s="58">
        <f t="shared" si="44"/>
        <v>13463477.678400001</v>
      </c>
      <c r="AE51" s="58">
        <f t="shared" si="45"/>
        <v>263989.75840000063</v>
      </c>
      <c r="AF51" s="56">
        <f t="shared" si="46"/>
        <v>2.0000000000000049E-2</v>
      </c>
      <c r="AG51" s="58">
        <f t="shared" si="47"/>
        <v>263989.75840000063</v>
      </c>
      <c r="AH51" s="56">
        <f t="shared" si="48"/>
        <v>2.0000000000000049E-2</v>
      </c>
    </row>
    <row r="52" spans="1:34">
      <c r="A52" t="str">
        <f t="shared" si="25"/>
        <v>221</v>
      </c>
      <c r="B52">
        <f t="shared" si="26"/>
        <v>221</v>
      </c>
      <c r="C52" s="15" t="s">
        <v>61</v>
      </c>
      <c r="D52" s="155">
        <v>12306266.52</v>
      </c>
      <c r="E52" s="155">
        <v>1942884.1400000001</v>
      </c>
      <c r="F52" s="155">
        <f t="shared" si="49"/>
        <v>14249150.66</v>
      </c>
      <c r="G52" s="238">
        <v>2240</v>
      </c>
      <c r="H52" s="239">
        <f t="shared" si="27"/>
        <v>6361.2279732142861</v>
      </c>
      <c r="I52" s="213">
        <f t="shared" si="28"/>
        <v>8.1606521804864999E-3</v>
      </c>
      <c r="J52" s="5">
        <f>Calculations!AS52</f>
        <v>13193297.88729715</v>
      </c>
      <c r="K52" s="5">
        <f t="shared" si="29"/>
        <v>2121526.5080205803</v>
      </c>
      <c r="L52" s="5">
        <f t="shared" si="30"/>
        <v>15314824.39531773</v>
      </c>
      <c r="M52" s="146">
        <v>2240</v>
      </c>
      <c r="N52" s="58">
        <f t="shared" si="31"/>
        <v>6836.975176481129</v>
      </c>
      <c r="O52" s="36">
        <f t="shared" si="32"/>
        <v>8.3459011116819946E-3</v>
      </c>
      <c r="P52" s="211">
        <f>SUM(H52*'Front page'!$H$10)+H52</f>
        <v>6838.3200712053576</v>
      </c>
      <c r="Q52" s="211">
        <f t="shared" si="33"/>
        <v>15314824.39531773</v>
      </c>
      <c r="R52" s="218"/>
      <c r="S52" s="5">
        <f t="shared" si="34"/>
        <v>1065673.7353177294</v>
      </c>
      <c r="T52" s="5" t="str">
        <f t="shared" si="35"/>
        <v/>
      </c>
      <c r="U52" s="5">
        <f t="shared" si="36"/>
        <v>1065673.7353177294</v>
      </c>
      <c r="V52" s="5">
        <f t="shared" si="37"/>
        <v>0</v>
      </c>
      <c r="W52" s="55">
        <f t="shared" si="38"/>
        <v>7.4788579385947018E-2</v>
      </c>
      <c r="X52" s="6">
        <f t="shared" si="39"/>
        <v>15317836.9595</v>
      </c>
      <c r="Y52" s="5">
        <f t="shared" si="40"/>
        <v>15314824.39531773</v>
      </c>
      <c r="Z52" s="57">
        <f t="shared" si="41"/>
        <v>1065673.7353177294</v>
      </c>
      <c r="AA52" s="5">
        <f t="shared" si="42"/>
        <v>0</v>
      </c>
      <c r="AB52" s="58">
        <f>SUM(F52*'Front page'!$H$11)+F52</f>
        <v>14534133.6732</v>
      </c>
      <c r="AC52" s="58">
        <f t="shared" si="43"/>
        <v>15314824.39531773</v>
      </c>
      <c r="AD52" s="58">
        <f t="shared" si="44"/>
        <v>15314824.39531773</v>
      </c>
      <c r="AE52" s="58">
        <f t="shared" si="45"/>
        <v>1065673.7353177294</v>
      </c>
      <c r="AF52" s="56">
        <f t="shared" si="46"/>
        <v>7.4788579385947018E-2</v>
      </c>
      <c r="AG52" s="58">
        <f t="shared" si="47"/>
        <v>1065673.7353177294</v>
      </c>
      <c r="AH52" s="56">
        <f t="shared" si="48"/>
        <v>7.4788579385947018E-2</v>
      </c>
    </row>
    <row r="53" spans="1:34">
      <c r="A53" t="str">
        <f t="shared" si="25"/>
        <v>231</v>
      </c>
      <c r="B53">
        <f t="shared" si="26"/>
        <v>231</v>
      </c>
      <c r="C53" s="15" t="s">
        <v>62</v>
      </c>
      <c r="D53" s="155">
        <v>6864821.2599999998</v>
      </c>
      <c r="E53" s="155">
        <v>735236.98</v>
      </c>
      <c r="F53" s="155">
        <f t="shared" si="49"/>
        <v>7600058.2400000002</v>
      </c>
      <c r="G53" s="238">
        <v>1296.5</v>
      </c>
      <c r="H53" s="239">
        <f t="shared" si="27"/>
        <v>5861.9809024296183</v>
      </c>
      <c r="I53" s="213">
        <f t="shared" si="28"/>
        <v>4.35264061191984E-3</v>
      </c>
      <c r="J53" s="5">
        <f>Calculations!AS53</f>
        <v>7561968.2978431266</v>
      </c>
      <c r="K53" s="5">
        <f t="shared" si="29"/>
        <v>802839.81460006</v>
      </c>
      <c r="L53" s="5">
        <f t="shared" si="30"/>
        <v>8364808.1124431863</v>
      </c>
      <c r="M53" s="146">
        <v>1296.5</v>
      </c>
      <c r="N53" s="58">
        <f t="shared" si="31"/>
        <v>6451.8381121814009</v>
      </c>
      <c r="O53" s="36">
        <f t="shared" si="32"/>
        <v>4.5584500039053694E-3</v>
      </c>
      <c r="P53" s="211">
        <f>SUM(H53*'Front page'!$H$10)+H53</f>
        <v>6301.6294701118395</v>
      </c>
      <c r="Q53" s="211">
        <f t="shared" si="33"/>
        <v>8170062.608</v>
      </c>
      <c r="R53" s="218"/>
      <c r="S53" s="5">
        <f t="shared" si="34"/>
        <v>764749.87244318612</v>
      </c>
      <c r="T53" s="5" t="str">
        <f t="shared" si="35"/>
        <v/>
      </c>
      <c r="U53" s="5">
        <f t="shared" si="36"/>
        <v>570004.36799999978</v>
      </c>
      <c r="V53" s="5">
        <f t="shared" si="37"/>
        <v>-194745.50444318634</v>
      </c>
      <c r="W53" s="55">
        <f t="shared" si="38"/>
        <v>0.10062421211698321</v>
      </c>
      <c r="X53" s="6">
        <f t="shared" si="39"/>
        <v>8170062.608</v>
      </c>
      <c r="Y53" s="5">
        <f t="shared" si="40"/>
        <v>8170062.608</v>
      </c>
      <c r="Z53" s="57">
        <f t="shared" si="41"/>
        <v>570004.36799999978</v>
      </c>
      <c r="AA53" s="5">
        <f t="shared" si="42"/>
        <v>-194745.50444318634</v>
      </c>
      <c r="AB53" s="58">
        <f>SUM(F53*'Front page'!$H$11)+F53</f>
        <v>7752059.4048000006</v>
      </c>
      <c r="AC53" s="58">
        <f t="shared" si="43"/>
        <v>8364808.1124431863</v>
      </c>
      <c r="AD53" s="58">
        <f t="shared" si="44"/>
        <v>8170062.608</v>
      </c>
      <c r="AE53" s="58">
        <f t="shared" si="45"/>
        <v>764749.87244318612</v>
      </c>
      <c r="AF53" s="56">
        <f t="shared" si="46"/>
        <v>0.10062421211698321</v>
      </c>
      <c r="AG53" s="58">
        <f t="shared" si="47"/>
        <v>570004.36799999978</v>
      </c>
      <c r="AH53" s="56">
        <f t="shared" si="48"/>
        <v>7.4999999999999969E-2</v>
      </c>
    </row>
    <row r="54" spans="1:34">
      <c r="A54" t="str">
        <f t="shared" si="25"/>
        <v>232</v>
      </c>
      <c r="B54">
        <f t="shared" si="26"/>
        <v>232</v>
      </c>
      <c r="C54" s="15" t="s">
        <v>63</v>
      </c>
      <c r="D54" s="155">
        <v>6022881.5999999996</v>
      </c>
      <c r="E54" s="155">
        <v>586906.27</v>
      </c>
      <c r="F54" s="155">
        <f t="shared" si="49"/>
        <v>6609787.8699999992</v>
      </c>
      <c r="G54" s="238">
        <v>1057.5</v>
      </c>
      <c r="H54" s="239">
        <f t="shared" si="27"/>
        <v>6250.390420803782</v>
      </c>
      <c r="I54" s="213">
        <f t="shared" si="28"/>
        <v>3.7855014015178295E-3</v>
      </c>
      <c r="J54" s="5">
        <f>Calculations!AS54</f>
        <v>6354152.248580738</v>
      </c>
      <c r="K54" s="5">
        <f t="shared" si="29"/>
        <v>640870.54080769001</v>
      </c>
      <c r="L54" s="5">
        <f t="shared" si="30"/>
        <v>6995022.7893884275</v>
      </c>
      <c r="M54" s="146">
        <v>1057.5</v>
      </c>
      <c r="N54" s="58">
        <f t="shared" si="31"/>
        <v>6614.6787606509952</v>
      </c>
      <c r="O54" s="36">
        <f t="shared" si="32"/>
        <v>3.811977660811212E-3</v>
      </c>
      <c r="P54" s="211">
        <f>SUM(H54*'Front page'!$H$10)+H54</f>
        <v>6719.1697023640654</v>
      </c>
      <c r="Q54" s="211">
        <f t="shared" si="33"/>
        <v>6995022.7893884275</v>
      </c>
      <c r="R54" s="218"/>
      <c r="S54" s="5">
        <f t="shared" si="34"/>
        <v>385234.91938842833</v>
      </c>
      <c r="T54" s="5" t="str">
        <f t="shared" si="35"/>
        <v/>
      </c>
      <c r="U54" s="5">
        <f t="shared" si="36"/>
        <v>385234.91938842833</v>
      </c>
      <c r="V54" s="5">
        <f t="shared" si="37"/>
        <v>0</v>
      </c>
      <c r="W54" s="55">
        <f t="shared" si="38"/>
        <v>5.8282493623873041E-2</v>
      </c>
      <c r="X54" s="6">
        <f t="shared" si="39"/>
        <v>7105521.9602499995</v>
      </c>
      <c r="Y54" s="5">
        <f t="shared" si="40"/>
        <v>6995022.7893884275</v>
      </c>
      <c r="Z54" s="57">
        <f t="shared" si="41"/>
        <v>385234.91938842833</v>
      </c>
      <c r="AA54" s="5">
        <f t="shared" si="42"/>
        <v>0</v>
      </c>
      <c r="AB54" s="58">
        <f>SUM(F54*'Front page'!$H$11)+F54</f>
        <v>6741983.6273999987</v>
      </c>
      <c r="AC54" s="58">
        <f t="shared" si="43"/>
        <v>6995022.7893884275</v>
      </c>
      <c r="AD54" s="58">
        <f t="shared" si="44"/>
        <v>6995022.7893884275</v>
      </c>
      <c r="AE54" s="58">
        <f t="shared" si="45"/>
        <v>385234.91938842833</v>
      </c>
      <c r="AF54" s="56">
        <f t="shared" si="46"/>
        <v>5.8282493623873041E-2</v>
      </c>
      <c r="AG54" s="58">
        <f t="shared" si="47"/>
        <v>385234.91938842833</v>
      </c>
      <c r="AH54" s="56">
        <f t="shared" si="48"/>
        <v>5.8282493623873041E-2</v>
      </c>
    </row>
    <row r="55" spans="1:34" s="38" customFormat="1">
      <c r="A55" t="str">
        <f t="shared" si="25"/>
        <v>233</v>
      </c>
      <c r="B55">
        <f t="shared" si="26"/>
        <v>233</v>
      </c>
      <c r="C55" s="15" t="s">
        <v>64</v>
      </c>
      <c r="D55" s="155">
        <v>2330060.9500000002</v>
      </c>
      <c r="E55" s="155">
        <v>209251.4</v>
      </c>
      <c r="F55" s="155">
        <f t="shared" si="49"/>
        <v>2539312.35</v>
      </c>
      <c r="G55" s="238">
        <v>327</v>
      </c>
      <c r="H55" s="239">
        <f t="shared" si="27"/>
        <v>7765.4811926605507</v>
      </c>
      <c r="I55" s="213">
        <f t="shared" si="28"/>
        <v>1.4542933372257429E-3</v>
      </c>
      <c r="J55" s="5">
        <f>Calculations!AS55</f>
        <v>2128548.35442163</v>
      </c>
      <c r="K55" s="5">
        <f t="shared" si="29"/>
        <v>228491.43847579998</v>
      </c>
      <c r="L55" s="5">
        <f t="shared" si="30"/>
        <v>2357039.7928974302</v>
      </c>
      <c r="M55" s="146">
        <v>327</v>
      </c>
      <c r="N55" s="58">
        <f t="shared" si="31"/>
        <v>7208.0727611542206</v>
      </c>
      <c r="O55" s="36">
        <f t="shared" si="32"/>
        <v>1.2844823107364949E-3</v>
      </c>
      <c r="P55" s="211">
        <f>SUM(H55*'Front page'!$H$10)+H55</f>
        <v>8347.8922821100914</v>
      </c>
      <c r="Q55" s="211">
        <f t="shared" si="33"/>
        <v>2357039.7928974302</v>
      </c>
      <c r="R55" s="218"/>
      <c r="S55" s="5">
        <f t="shared" si="34"/>
        <v>-182272.55710256984</v>
      </c>
      <c r="T55" s="5">
        <f t="shared" si="35"/>
        <v>-182272.55710256984</v>
      </c>
      <c r="U55" s="5">
        <f t="shared" si="36"/>
        <v>-182272.55710256984</v>
      </c>
      <c r="V55" s="5">
        <f t="shared" si="37"/>
        <v>0</v>
      </c>
      <c r="W55" s="55">
        <f t="shared" si="38"/>
        <v>-7.1780282210091181E-2</v>
      </c>
      <c r="X55" s="6">
        <f t="shared" si="39"/>
        <v>2729760.7762500001</v>
      </c>
      <c r="Y55" s="5">
        <f t="shared" si="40"/>
        <v>2357039.7928974302</v>
      </c>
      <c r="Z55" s="57">
        <f t="shared" si="41"/>
        <v>-182272.55710256984</v>
      </c>
      <c r="AA55" s="5">
        <f t="shared" si="42"/>
        <v>0</v>
      </c>
      <c r="AB55" s="58">
        <f>SUM(F55*'Front page'!$H$11)+F55</f>
        <v>2590098.5970000001</v>
      </c>
      <c r="AC55" s="58">
        <f t="shared" si="43"/>
        <v>2590098.5970000001</v>
      </c>
      <c r="AD55" s="58">
        <f t="shared" si="44"/>
        <v>2590098.5970000001</v>
      </c>
      <c r="AE55" s="58">
        <f t="shared" si="45"/>
        <v>50786.246999999974</v>
      </c>
      <c r="AF55" s="56">
        <f t="shared" si="46"/>
        <v>1.999999999999999E-2</v>
      </c>
      <c r="AG55" s="58">
        <f t="shared" si="47"/>
        <v>50786.246999999974</v>
      </c>
      <c r="AH55" s="56">
        <f t="shared" si="48"/>
        <v>1.999999999999999E-2</v>
      </c>
    </row>
    <row r="56" spans="1:34">
      <c r="A56" t="str">
        <f t="shared" si="25"/>
        <v>234</v>
      </c>
      <c r="B56">
        <f t="shared" si="26"/>
        <v>234</v>
      </c>
      <c r="C56" s="15" t="s">
        <v>65</v>
      </c>
      <c r="D56" s="155">
        <v>1506724.53</v>
      </c>
      <c r="E56" s="155">
        <v>142108.89000000001</v>
      </c>
      <c r="F56" s="155">
        <f t="shared" si="49"/>
        <v>1648833.42</v>
      </c>
      <c r="G56" s="238">
        <v>127</v>
      </c>
      <c r="H56" s="239">
        <f t="shared" si="27"/>
        <v>12982.94031496063</v>
      </c>
      <c r="I56" s="213">
        <f t="shared" si="28"/>
        <v>9.4430583023830637E-4</v>
      </c>
      <c r="J56" s="5">
        <f>Calculations!AS56</f>
        <v>1458825.8836320685</v>
      </c>
      <c r="K56" s="5">
        <f t="shared" si="29"/>
        <v>155175.37610883001</v>
      </c>
      <c r="L56" s="5">
        <f t="shared" si="30"/>
        <v>1614001.2597408986</v>
      </c>
      <c r="M56" s="146">
        <v>127</v>
      </c>
      <c r="N56" s="58">
        <f t="shared" si="31"/>
        <v>12708.671336542509</v>
      </c>
      <c r="O56" s="36">
        <f t="shared" si="32"/>
        <v>8.7955921401528046E-4</v>
      </c>
      <c r="P56" s="211">
        <f>SUM(H56*'Front page'!$H$10)+H56</f>
        <v>13956.660838582677</v>
      </c>
      <c r="Q56" s="211">
        <f t="shared" si="33"/>
        <v>1614001.2597408986</v>
      </c>
      <c r="R56" s="218"/>
      <c r="S56" s="5">
        <f t="shared" si="34"/>
        <v>-34832.160259101307</v>
      </c>
      <c r="T56" s="5">
        <f t="shared" si="35"/>
        <v>-34832.160259101307</v>
      </c>
      <c r="U56" s="5">
        <f t="shared" si="36"/>
        <v>-34832.160259101307</v>
      </c>
      <c r="V56" s="5">
        <f t="shared" si="37"/>
        <v>0</v>
      </c>
      <c r="W56" s="55">
        <f t="shared" si="38"/>
        <v>-2.1125336153788844E-2</v>
      </c>
      <c r="X56" s="6">
        <f t="shared" si="39"/>
        <v>1772495.9264999998</v>
      </c>
      <c r="Y56" s="5">
        <f t="shared" si="40"/>
        <v>1614001.2597408986</v>
      </c>
      <c r="Z56" s="57">
        <f t="shared" si="41"/>
        <v>-34832.160259101307</v>
      </c>
      <c r="AA56" s="5">
        <f t="shared" si="42"/>
        <v>0</v>
      </c>
      <c r="AB56" s="58">
        <f>SUM(F56*'Front page'!$H$11)+F56</f>
        <v>1681810.0884</v>
      </c>
      <c r="AC56" s="58">
        <f t="shared" si="43"/>
        <v>1681810.0884</v>
      </c>
      <c r="AD56" s="58">
        <f t="shared" si="44"/>
        <v>1681810.0884</v>
      </c>
      <c r="AE56" s="58">
        <f t="shared" si="45"/>
        <v>32976.668400000082</v>
      </c>
      <c r="AF56" s="56">
        <f t="shared" si="46"/>
        <v>2.0000000000000052E-2</v>
      </c>
      <c r="AG56" s="58">
        <f t="shared" si="47"/>
        <v>32976.668400000082</v>
      </c>
      <c r="AH56" s="56">
        <f t="shared" si="48"/>
        <v>2.0000000000000052E-2</v>
      </c>
    </row>
    <row r="57" spans="1:34">
      <c r="A57" t="str">
        <f t="shared" si="25"/>
        <v>242</v>
      </c>
      <c r="B57">
        <f t="shared" si="26"/>
        <v>242</v>
      </c>
      <c r="C57" s="15" t="s">
        <v>66</v>
      </c>
      <c r="D57" s="155">
        <v>2752242.7399999998</v>
      </c>
      <c r="E57" s="155">
        <v>298155.33</v>
      </c>
      <c r="F57" s="155">
        <f t="shared" si="49"/>
        <v>3050398.07</v>
      </c>
      <c r="G57" s="238">
        <v>385</v>
      </c>
      <c r="H57" s="239">
        <f t="shared" si="27"/>
        <v>7923.1118701298701</v>
      </c>
      <c r="I57" s="213">
        <f t="shared" si="28"/>
        <v>1.7469979969527046E-3</v>
      </c>
      <c r="J57" s="5">
        <f>Calculations!AS57</f>
        <v>2755535.2605572985</v>
      </c>
      <c r="K57" s="5">
        <f t="shared" si="29"/>
        <v>325569.81812751002</v>
      </c>
      <c r="L57" s="5">
        <f t="shared" si="30"/>
        <v>3081105.0786848087</v>
      </c>
      <c r="M57" s="146">
        <v>385</v>
      </c>
      <c r="N57" s="58">
        <f t="shared" si="31"/>
        <v>8002.8703342462559</v>
      </c>
      <c r="O57" s="36">
        <f t="shared" si="32"/>
        <v>1.67906582783061E-3</v>
      </c>
      <c r="P57" s="211">
        <f>SUM(H57*'Front page'!$H$10)+H57</f>
        <v>8517.3452603896112</v>
      </c>
      <c r="Q57" s="211">
        <f t="shared" si="33"/>
        <v>3081105.0786848087</v>
      </c>
      <c r="R57" s="218"/>
      <c r="S57" s="5">
        <f t="shared" si="34"/>
        <v>30707.008684808854</v>
      </c>
      <c r="T57" s="5" t="str">
        <f t="shared" si="35"/>
        <v/>
      </c>
      <c r="U57" s="5">
        <f t="shared" si="36"/>
        <v>30707.008684808854</v>
      </c>
      <c r="V57" s="5">
        <f t="shared" si="37"/>
        <v>0</v>
      </c>
      <c r="W57" s="55">
        <f t="shared" si="38"/>
        <v>1.0066557865612882E-2</v>
      </c>
      <c r="X57" s="6">
        <f t="shared" si="39"/>
        <v>3279177.9252499999</v>
      </c>
      <c r="Y57" s="5">
        <f t="shared" si="40"/>
        <v>3081105.0786848087</v>
      </c>
      <c r="Z57" s="57">
        <f t="shared" si="41"/>
        <v>30707.008684808854</v>
      </c>
      <c r="AA57" s="157">
        <f t="shared" si="42"/>
        <v>0</v>
      </c>
      <c r="AB57" s="58">
        <f>SUM(F57*'Front page'!$H$11)+F57</f>
        <v>3111406.0313999997</v>
      </c>
      <c r="AC57" s="58">
        <f t="shared" si="43"/>
        <v>3111406.0313999997</v>
      </c>
      <c r="AD57" s="58">
        <f t="shared" si="44"/>
        <v>3111406.0313999997</v>
      </c>
      <c r="AE57" s="58">
        <f t="shared" si="45"/>
        <v>61007.961399999913</v>
      </c>
      <c r="AF57" s="56">
        <f t="shared" si="46"/>
        <v>1.9999999999999973E-2</v>
      </c>
      <c r="AG57" s="58">
        <f t="shared" si="47"/>
        <v>61007.961399999913</v>
      </c>
      <c r="AH57" s="56">
        <f t="shared" si="48"/>
        <v>1.9999999999999973E-2</v>
      </c>
    </row>
    <row r="58" spans="1:34">
      <c r="A58" t="str">
        <f t="shared" si="25"/>
        <v>243</v>
      </c>
      <c r="B58">
        <f t="shared" si="26"/>
        <v>243</v>
      </c>
      <c r="C58" s="15" t="s">
        <v>67</v>
      </c>
      <c r="D58" s="155">
        <v>1332593.32</v>
      </c>
      <c r="E58" s="155">
        <v>128412.06</v>
      </c>
      <c r="F58" s="155">
        <f t="shared" si="49"/>
        <v>1461005.3800000001</v>
      </c>
      <c r="G58" s="238">
        <v>106.5</v>
      </c>
      <c r="H58" s="239">
        <f t="shared" si="27"/>
        <v>13718.360375586855</v>
      </c>
      <c r="I58" s="213">
        <f t="shared" si="28"/>
        <v>8.3673455523695808E-4</v>
      </c>
      <c r="J58" s="5">
        <f>Calculations!AS58</f>
        <v>1327459.156594736</v>
      </c>
      <c r="K58" s="5">
        <f t="shared" si="29"/>
        <v>140219.16368082</v>
      </c>
      <c r="L58" s="5">
        <f t="shared" si="30"/>
        <v>1467678.3202755561</v>
      </c>
      <c r="M58" s="146">
        <v>106.5</v>
      </c>
      <c r="N58" s="58">
        <f t="shared" si="31"/>
        <v>13781.017091789259</v>
      </c>
      <c r="O58" s="36">
        <f t="shared" si="32"/>
        <v>7.9981969160053173E-4</v>
      </c>
      <c r="P58" s="211">
        <f>SUM(H58*'Front page'!$H$10)+H58</f>
        <v>14747.237403755869</v>
      </c>
      <c r="Q58" s="211">
        <f t="shared" si="33"/>
        <v>1467678.3202755561</v>
      </c>
      <c r="R58" s="218"/>
      <c r="S58" s="5">
        <f t="shared" si="34"/>
        <v>6672.9402755559422</v>
      </c>
      <c r="T58" s="5" t="str">
        <f t="shared" si="35"/>
        <v/>
      </c>
      <c r="U58" s="5">
        <f t="shared" si="36"/>
        <v>6672.9402755559422</v>
      </c>
      <c r="V58" s="5">
        <f t="shared" si="37"/>
        <v>0</v>
      </c>
      <c r="W58" s="55">
        <f t="shared" si="38"/>
        <v>4.56736187758319E-3</v>
      </c>
      <c r="X58" s="6">
        <f t="shared" si="39"/>
        <v>1570580.7835000001</v>
      </c>
      <c r="Y58" s="5">
        <f t="shared" si="40"/>
        <v>1467678.3202755561</v>
      </c>
      <c r="Z58" s="57">
        <f t="shared" si="41"/>
        <v>6672.9402755559422</v>
      </c>
      <c r="AA58" s="5">
        <f t="shared" si="42"/>
        <v>0</v>
      </c>
      <c r="AB58" s="58">
        <f>SUM(F58*'Front page'!$H$11)+F58</f>
        <v>1490225.4876000001</v>
      </c>
      <c r="AC58" s="58">
        <f t="shared" si="43"/>
        <v>1490225.4876000001</v>
      </c>
      <c r="AD58" s="58">
        <f t="shared" si="44"/>
        <v>1490225.4876000001</v>
      </c>
      <c r="AE58" s="58">
        <f t="shared" si="45"/>
        <v>29220.107599999988</v>
      </c>
      <c r="AF58" s="56">
        <f t="shared" si="46"/>
        <v>1.999999999999999E-2</v>
      </c>
      <c r="AG58" s="58">
        <f t="shared" si="47"/>
        <v>29220.107599999988</v>
      </c>
      <c r="AH58" s="56">
        <f t="shared" si="48"/>
        <v>1.999999999999999E-2</v>
      </c>
    </row>
    <row r="59" spans="1:34">
      <c r="A59" t="str">
        <f t="shared" si="25"/>
        <v>244</v>
      </c>
      <c r="B59">
        <f t="shared" si="26"/>
        <v>244</v>
      </c>
      <c r="C59" s="15" t="s">
        <v>68</v>
      </c>
      <c r="D59" s="155">
        <v>7474207.4700000007</v>
      </c>
      <c r="E59" s="155">
        <v>1016692.22</v>
      </c>
      <c r="F59" s="155">
        <f t="shared" si="49"/>
        <v>8490899.6900000013</v>
      </c>
      <c r="G59" s="238">
        <v>1249.5</v>
      </c>
      <c r="H59" s="239">
        <f t="shared" si="27"/>
        <v>6795.4379271708694</v>
      </c>
      <c r="I59" s="213">
        <f t="shared" si="28"/>
        <v>4.8628357382734452E-3</v>
      </c>
      <c r="J59" s="5">
        <f>Calculations!AS59</f>
        <v>6892538.0937326876</v>
      </c>
      <c r="K59" s="5">
        <f t="shared" si="29"/>
        <v>1110174.01955234</v>
      </c>
      <c r="L59" s="5">
        <f t="shared" si="30"/>
        <v>8002712.1132850274</v>
      </c>
      <c r="M59" s="146">
        <v>1249.5</v>
      </c>
      <c r="N59" s="58">
        <f t="shared" si="31"/>
        <v>6404.7315832613267</v>
      </c>
      <c r="O59" s="36">
        <f t="shared" si="32"/>
        <v>4.3611237189997709E-3</v>
      </c>
      <c r="P59" s="211">
        <f>SUM(H59*'Front page'!$H$10)+H59</f>
        <v>7305.0957717086849</v>
      </c>
      <c r="Q59" s="211">
        <f t="shared" si="33"/>
        <v>8002712.1132850274</v>
      </c>
      <c r="R59" s="218"/>
      <c r="S59" s="5">
        <f t="shared" si="34"/>
        <v>-488187.5767149739</v>
      </c>
      <c r="T59" s="5">
        <f t="shared" si="35"/>
        <v>-488187.5767149739</v>
      </c>
      <c r="U59" s="5">
        <f t="shared" si="36"/>
        <v>-488187.5767149739</v>
      </c>
      <c r="V59" s="5">
        <f t="shared" si="37"/>
        <v>0</v>
      </c>
      <c r="W59" s="55">
        <f t="shared" si="38"/>
        <v>-5.749538853814605E-2</v>
      </c>
      <c r="X59" s="6">
        <f t="shared" si="39"/>
        <v>9127717.1667500008</v>
      </c>
      <c r="Y59" s="5">
        <f t="shared" si="40"/>
        <v>8002712.1132850274</v>
      </c>
      <c r="Z59" s="57">
        <f t="shared" si="41"/>
        <v>-488187.5767149739</v>
      </c>
      <c r="AA59" s="5">
        <f t="shared" si="42"/>
        <v>0</v>
      </c>
      <c r="AB59" s="58">
        <f>SUM(F59*'Front page'!$H$11)+F59</f>
        <v>8660717.6838000007</v>
      </c>
      <c r="AC59" s="58">
        <f t="shared" si="43"/>
        <v>8660717.6838000007</v>
      </c>
      <c r="AD59" s="58">
        <f t="shared" si="44"/>
        <v>8660717.6838000007</v>
      </c>
      <c r="AE59" s="58">
        <f t="shared" si="45"/>
        <v>169817.99379999936</v>
      </c>
      <c r="AF59" s="56">
        <f t="shared" si="46"/>
        <v>1.9999999999999921E-2</v>
      </c>
      <c r="AG59" s="58">
        <f t="shared" si="47"/>
        <v>169817.99379999936</v>
      </c>
      <c r="AH59" s="56">
        <f t="shared" si="48"/>
        <v>1.9999999999999921E-2</v>
      </c>
    </row>
    <row r="60" spans="1:34">
      <c r="A60" t="str">
        <f t="shared" si="25"/>
        <v>251</v>
      </c>
      <c r="B60">
        <f t="shared" si="26"/>
        <v>251</v>
      </c>
      <c r="C60" s="15" t="s">
        <v>69</v>
      </c>
      <c r="D60" s="155">
        <v>27494385.949999999</v>
      </c>
      <c r="E60" s="155">
        <v>4005879.9899999998</v>
      </c>
      <c r="F60" s="155">
        <f t="shared" si="49"/>
        <v>31500265.939999998</v>
      </c>
      <c r="G60" s="238">
        <v>5596.5</v>
      </c>
      <c r="H60" s="239">
        <f t="shared" si="27"/>
        <v>5628.5653426248546</v>
      </c>
      <c r="I60" s="213">
        <f t="shared" si="28"/>
        <v>1.8040563965036047E-2</v>
      </c>
      <c r="J60" s="5">
        <f>Calculations!AS60</f>
        <v>30973017.436922181</v>
      </c>
      <c r="K60" s="5">
        <f t="shared" si="29"/>
        <v>4374208.6374405297</v>
      </c>
      <c r="L60" s="5">
        <f t="shared" si="30"/>
        <v>35347226.07436271</v>
      </c>
      <c r="M60" s="146">
        <v>5596.5</v>
      </c>
      <c r="N60" s="58">
        <f t="shared" si="31"/>
        <v>6315.9521262150829</v>
      </c>
      <c r="O60" s="36">
        <f t="shared" si="32"/>
        <v>1.9262672935322168E-2</v>
      </c>
      <c r="P60" s="211">
        <f>SUM(H60*'Front page'!$H$10)+H60</f>
        <v>6050.7077433217182</v>
      </c>
      <c r="Q60" s="211">
        <f t="shared" si="33"/>
        <v>33862785.885499999</v>
      </c>
      <c r="R60" s="218"/>
      <c r="S60" s="5">
        <f t="shared" si="34"/>
        <v>3846960.1343627125</v>
      </c>
      <c r="T60" s="5" t="str">
        <f t="shared" si="35"/>
        <v/>
      </c>
      <c r="U60" s="5">
        <f t="shared" si="36"/>
        <v>2362519.9455000013</v>
      </c>
      <c r="V60" s="5">
        <f t="shared" si="37"/>
        <v>-1484440.1888627112</v>
      </c>
      <c r="W60" s="55">
        <f t="shared" si="38"/>
        <v>0.12212468750867672</v>
      </c>
      <c r="X60" s="6">
        <f t="shared" si="39"/>
        <v>33862785.885499999</v>
      </c>
      <c r="Y60" s="5">
        <f t="shared" si="40"/>
        <v>33862785.885499999</v>
      </c>
      <c r="Z60" s="57">
        <f t="shared" si="41"/>
        <v>2362519.9455000013</v>
      </c>
      <c r="AA60" s="5">
        <f t="shared" si="42"/>
        <v>-1484440.1888627112</v>
      </c>
      <c r="AB60" s="58">
        <f>SUM(F60*'Front page'!$H$11)+F60</f>
        <v>32130271.258799996</v>
      </c>
      <c r="AC60" s="58">
        <f t="shared" si="43"/>
        <v>35347226.07436271</v>
      </c>
      <c r="AD60" s="58">
        <f t="shared" si="44"/>
        <v>33862785.885499999</v>
      </c>
      <c r="AE60" s="58">
        <f t="shared" si="45"/>
        <v>3846960.1343627125</v>
      </c>
      <c r="AF60" s="56">
        <f t="shared" si="46"/>
        <v>0.12212468750867672</v>
      </c>
      <c r="AG60" s="58">
        <f t="shared" si="47"/>
        <v>2362519.9455000013</v>
      </c>
      <c r="AH60" s="56">
        <f t="shared" si="48"/>
        <v>7.5000000000000053E-2</v>
      </c>
    </row>
    <row r="61" spans="1:34">
      <c r="A61" t="str">
        <f t="shared" si="25"/>
        <v>252</v>
      </c>
      <c r="B61">
        <f t="shared" si="26"/>
        <v>252</v>
      </c>
      <c r="C61" s="15" t="s">
        <v>70</v>
      </c>
      <c r="D61" s="155">
        <v>4083934.46</v>
      </c>
      <c r="E61" s="155">
        <v>616830.85</v>
      </c>
      <c r="F61" s="155">
        <f t="shared" si="49"/>
        <v>4700765.3099999996</v>
      </c>
      <c r="G61" s="238">
        <v>688.5</v>
      </c>
      <c r="H61" s="239">
        <f t="shared" si="27"/>
        <v>6827.5458387799563</v>
      </c>
      <c r="I61" s="213">
        <f t="shared" si="28"/>
        <v>2.6921822635151216E-3</v>
      </c>
      <c r="J61" s="5">
        <f>Calculations!AS61</f>
        <v>4297294.2749967538</v>
      </c>
      <c r="K61" s="5">
        <f t="shared" si="29"/>
        <v>673546.59616494994</v>
      </c>
      <c r="L61" s="5">
        <f t="shared" si="30"/>
        <v>4970840.871161704</v>
      </c>
      <c r="M61" s="146">
        <v>688.5</v>
      </c>
      <c r="N61" s="58">
        <f t="shared" si="31"/>
        <v>7219.8124490366072</v>
      </c>
      <c r="O61" s="36">
        <f t="shared" si="32"/>
        <v>2.7088881518815525E-3</v>
      </c>
      <c r="P61" s="211">
        <f>SUM(H61*'Front page'!$H$10)+H61</f>
        <v>7339.6117766884527</v>
      </c>
      <c r="Q61" s="211">
        <f t="shared" si="33"/>
        <v>4970840.871161704</v>
      </c>
      <c r="R61" s="218"/>
      <c r="S61" s="5">
        <f t="shared" si="34"/>
        <v>270075.56116170436</v>
      </c>
      <c r="T61" s="5" t="str">
        <f t="shared" si="35"/>
        <v/>
      </c>
      <c r="U61" s="5">
        <f t="shared" si="36"/>
        <v>270075.56116170436</v>
      </c>
      <c r="V61" s="5">
        <f t="shared" si="37"/>
        <v>0</v>
      </c>
      <c r="W61" s="55">
        <f t="shared" si="38"/>
        <v>5.7453530085232948E-2</v>
      </c>
      <c r="X61" s="6">
        <f t="shared" si="39"/>
        <v>5053322.7082499992</v>
      </c>
      <c r="Y61" s="5">
        <f t="shared" si="40"/>
        <v>4970840.871161704</v>
      </c>
      <c r="Z61" s="57">
        <f t="shared" si="41"/>
        <v>270075.56116170436</v>
      </c>
      <c r="AA61" s="5">
        <f t="shared" si="42"/>
        <v>0</v>
      </c>
      <c r="AB61" s="58">
        <f>SUM(F61*'Front page'!$H$11)+F61</f>
        <v>4794780.6162</v>
      </c>
      <c r="AC61" s="58">
        <f t="shared" si="43"/>
        <v>4970840.871161704</v>
      </c>
      <c r="AD61" s="58">
        <f t="shared" si="44"/>
        <v>4970840.871161704</v>
      </c>
      <c r="AE61" s="58">
        <f t="shared" si="45"/>
        <v>270075.56116170436</v>
      </c>
      <c r="AF61" s="56">
        <f t="shared" si="46"/>
        <v>5.7453530085232948E-2</v>
      </c>
      <c r="AG61" s="58">
        <f t="shared" si="47"/>
        <v>270075.56116170436</v>
      </c>
      <c r="AH61" s="56">
        <f t="shared" si="48"/>
        <v>5.7453530085232948E-2</v>
      </c>
    </row>
    <row r="62" spans="1:34">
      <c r="A62" t="str">
        <f t="shared" si="25"/>
        <v>253</v>
      </c>
      <c r="B62">
        <f t="shared" si="26"/>
        <v>253</v>
      </c>
      <c r="C62" s="15" t="s">
        <v>71</v>
      </c>
      <c r="D62" s="155">
        <v>3753324.9099999997</v>
      </c>
      <c r="E62" s="155">
        <v>522842.86000000004</v>
      </c>
      <c r="F62" s="155">
        <f t="shared" si="49"/>
        <v>4276167.7699999996</v>
      </c>
      <c r="G62" s="238">
        <v>568</v>
      </c>
      <c r="H62" s="239">
        <f t="shared" si="27"/>
        <v>7528.464383802816</v>
      </c>
      <c r="I62" s="213">
        <f t="shared" si="28"/>
        <v>2.4490103774631989E-3</v>
      </c>
      <c r="J62" s="5">
        <f>Calculations!AS62</f>
        <v>3958405.8303965623</v>
      </c>
      <c r="K62" s="5">
        <f t="shared" si="29"/>
        <v>570916.6924484201</v>
      </c>
      <c r="L62" s="5">
        <f t="shared" si="30"/>
        <v>4529322.5228449823</v>
      </c>
      <c r="M62" s="146">
        <v>568</v>
      </c>
      <c r="N62" s="58">
        <f t="shared" si="31"/>
        <v>7974.1593712059548</v>
      </c>
      <c r="O62" s="36">
        <f t="shared" si="32"/>
        <v>2.4682802037309282E-3</v>
      </c>
      <c r="P62" s="211">
        <f>SUM(H62*'Front page'!$H$10)+H62</f>
        <v>8093.0992125880275</v>
      </c>
      <c r="Q62" s="211">
        <f t="shared" si="33"/>
        <v>4529322.5228449823</v>
      </c>
      <c r="R62" s="218"/>
      <c r="S62" s="5">
        <f t="shared" si="34"/>
        <v>253154.75284498278</v>
      </c>
      <c r="T62" s="5" t="str">
        <f t="shared" si="35"/>
        <v/>
      </c>
      <c r="U62" s="5">
        <f t="shared" si="36"/>
        <v>253154.75284498278</v>
      </c>
      <c r="V62" s="5">
        <f t="shared" si="37"/>
        <v>0</v>
      </c>
      <c r="W62" s="55">
        <f t="shared" si="38"/>
        <v>5.9201314462220649E-2</v>
      </c>
      <c r="X62" s="6">
        <f t="shared" si="39"/>
        <v>4596880.3527499996</v>
      </c>
      <c r="Y62" s="5">
        <f t="shared" si="40"/>
        <v>4529322.5228449823</v>
      </c>
      <c r="Z62" s="57">
        <f t="shared" si="41"/>
        <v>253154.75284498278</v>
      </c>
      <c r="AA62" s="5">
        <f t="shared" si="42"/>
        <v>0</v>
      </c>
      <c r="AB62" s="58">
        <f>SUM(F62*'Front page'!$H$11)+F62</f>
        <v>4361691.1253999993</v>
      </c>
      <c r="AC62" s="58">
        <f t="shared" si="43"/>
        <v>4529322.5228449823</v>
      </c>
      <c r="AD62" s="58">
        <f t="shared" si="44"/>
        <v>4529322.5228449823</v>
      </c>
      <c r="AE62" s="58">
        <f t="shared" si="45"/>
        <v>253154.75284498278</v>
      </c>
      <c r="AF62" s="56">
        <f t="shared" si="46"/>
        <v>5.9201314462220649E-2</v>
      </c>
      <c r="AG62" s="58">
        <f t="shared" si="47"/>
        <v>253154.75284498278</v>
      </c>
      <c r="AH62" s="56">
        <f t="shared" si="48"/>
        <v>5.9201314462220649E-2</v>
      </c>
    </row>
    <row r="63" spans="1:34">
      <c r="A63" t="str">
        <f t="shared" si="25"/>
        <v>261</v>
      </c>
      <c r="B63">
        <f t="shared" si="26"/>
        <v>261</v>
      </c>
      <c r="C63" s="15" t="s">
        <v>72</v>
      </c>
      <c r="D63" s="155">
        <v>19607333.829999998</v>
      </c>
      <c r="E63" s="155">
        <v>2437835.59</v>
      </c>
      <c r="F63" s="155">
        <f t="shared" si="49"/>
        <v>22045169.419999998</v>
      </c>
      <c r="G63" s="238">
        <v>3830.5</v>
      </c>
      <c r="H63" s="239">
        <f t="shared" si="27"/>
        <v>5755.1675812557105</v>
      </c>
      <c r="I63" s="213">
        <f t="shared" si="28"/>
        <v>1.2625521632074404E-2</v>
      </c>
      <c r="J63" s="5">
        <f>Calculations!AS63</f>
        <v>21548317.179763049</v>
      </c>
      <c r="K63" s="5">
        <f t="shared" si="29"/>
        <v>2661987.2589937299</v>
      </c>
      <c r="L63" s="5">
        <f t="shared" si="30"/>
        <v>24210304.438756779</v>
      </c>
      <c r="M63" s="146">
        <v>3830.5</v>
      </c>
      <c r="N63" s="58">
        <f t="shared" si="31"/>
        <v>6320.4031950807412</v>
      </c>
      <c r="O63" s="36">
        <f t="shared" si="32"/>
        <v>1.3193543818325168E-2</v>
      </c>
      <c r="P63" s="211">
        <f>SUM(H63*'Front page'!$H$10)+H63</f>
        <v>6186.8051498498889</v>
      </c>
      <c r="Q63" s="211">
        <f t="shared" si="33"/>
        <v>23698557.126499999</v>
      </c>
      <c r="R63" s="218"/>
      <c r="S63" s="5">
        <f t="shared" si="34"/>
        <v>2165135.0187567808</v>
      </c>
      <c r="T63" s="5" t="str">
        <f t="shared" si="35"/>
        <v/>
      </c>
      <c r="U63" s="5">
        <f t="shared" si="36"/>
        <v>1653387.7065000013</v>
      </c>
      <c r="V63" s="5">
        <f t="shared" si="37"/>
        <v>-511747.31225677952</v>
      </c>
      <c r="W63" s="55">
        <f t="shared" si="38"/>
        <v>9.8213580377046653E-2</v>
      </c>
      <c r="X63" s="6">
        <f t="shared" si="39"/>
        <v>23698557.126499999</v>
      </c>
      <c r="Y63" s="5">
        <f t="shared" si="40"/>
        <v>23698557.126499999</v>
      </c>
      <c r="Z63" s="57">
        <f t="shared" si="41"/>
        <v>1653387.7065000013</v>
      </c>
      <c r="AA63" s="5">
        <f t="shared" si="42"/>
        <v>-511747.31225677952</v>
      </c>
      <c r="AB63" s="58">
        <f>SUM(F63*'Front page'!$H$11)+F63</f>
        <v>22486072.808399998</v>
      </c>
      <c r="AC63" s="58">
        <f t="shared" si="43"/>
        <v>24210304.438756779</v>
      </c>
      <c r="AD63" s="58">
        <f t="shared" si="44"/>
        <v>23698557.126499999</v>
      </c>
      <c r="AE63" s="58">
        <f t="shared" si="45"/>
        <v>2165135.0187567808</v>
      </c>
      <c r="AF63" s="56">
        <f t="shared" si="46"/>
        <v>9.8213580377046653E-2</v>
      </c>
      <c r="AG63" s="58">
        <f t="shared" si="47"/>
        <v>1653387.7065000013</v>
      </c>
      <c r="AH63" s="56">
        <f t="shared" si="48"/>
        <v>7.5000000000000067E-2</v>
      </c>
    </row>
    <row r="64" spans="1:34">
      <c r="A64" t="str">
        <f t="shared" si="25"/>
        <v>262</v>
      </c>
      <c r="B64">
        <f t="shared" si="26"/>
        <v>262</v>
      </c>
      <c r="C64" s="15" t="s">
        <v>73</v>
      </c>
      <c r="D64" s="155">
        <v>3697344.35</v>
      </c>
      <c r="E64" s="155">
        <v>404561</v>
      </c>
      <c r="F64" s="155">
        <f t="shared" si="49"/>
        <v>4101905.35</v>
      </c>
      <c r="G64" s="238">
        <v>550.5</v>
      </c>
      <c r="H64" s="239">
        <f t="shared" si="27"/>
        <v>7451.235876475931</v>
      </c>
      <c r="I64" s="213">
        <f t="shared" si="28"/>
        <v>2.3492082887855955E-3</v>
      </c>
      <c r="J64" s="5">
        <f>Calculations!AS64</f>
        <v>3956598.6067522019</v>
      </c>
      <c r="K64" s="5">
        <f t="shared" si="29"/>
        <v>441759.17026699998</v>
      </c>
      <c r="L64" s="5">
        <f t="shared" si="30"/>
        <v>4398357.7770192018</v>
      </c>
      <c r="M64" s="146">
        <v>550.5</v>
      </c>
      <c r="N64" s="58">
        <f t="shared" si="31"/>
        <v>7989.7507302801123</v>
      </c>
      <c r="O64" s="36">
        <f t="shared" si="32"/>
        <v>2.3969102167454618E-3</v>
      </c>
      <c r="P64" s="211">
        <f>SUM(H64*'Front page'!$H$10)+H64</f>
        <v>8010.0785672116253</v>
      </c>
      <c r="Q64" s="211">
        <f t="shared" si="33"/>
        <v>4398357.7770192018</v>
      </c>
      <c r="R64" s="218"/>
      <c r="S64" s="5">
        <f t="shared" si="34"/>
        <v>296452.42701920168</v>
      </c>
      <c r="T64" s="5" t="str">
        <f t="shared" si="35"/>
        <v/>
      </c>
      <c r="U64" s="5">
        <f t="shared" si="36"/>
        <v>296452.42701920168</v>
      </c>
      <c r="V64" s="5">
        <f t="shared" si="37"/>
        <v>0</v>
      </c>
      <c r="W64" s="55">
        <f t="shared" si="38"/>
        <v>7.2271883850075103E-2</v>
      </c>
      <c r="X64" s="6">
        <f t="shared" si="39"/>
        <v>4409548.2512499997</v>
      </c>
      <c r="Y64" s="5">
        <f t="shared" si="40"/>
        <v>4398357.7770192018</v>
      </c>
      <c r="Z64" s="57">
        <f t="shared" si="41"/>
        <v>296452.42701920168</v>
      </c>
      <c r="AA64" s="5">
        <f t="shared" si="42"/>
        <v>0</v>
      </c>
      <c r="AB64" s="58">
        <f>SUM(F64*'Front page'!$H$11)+F64</f>
        <v>4183943.4569999999</v>
      </c>
      <c r="AC64" s="58">
        <f t="shared" si="43"/>
        <v>4398357.7770192018</v>
      </c>
      <c r="AD64" s="58">
        <f t="shared" si="44"/>
        <v>4398357.7770192018</v>
      </c>
      <c r="AE64" s="58">
        <f t="shared" si="45"/>
        <v>296452.42701920168</v>
      </c>
      <c r="AF64" s="56">
        <f t="shared" si="46"/>
        <v>7.2271883850075103E-2</v>
      </c>
      <c r="AG64" s="58">
        <f t="shared" si="47"/>
        <v>296452.42701920168</v>
      </c>
      <c r="AH64" s="56">
        <f t="shared" si="48"/>
        <v>7.2271883850075103E-2</v>
      </c>
    </row>
    <row r="65" spans="1:34">
      <c r="A65" t="str">
        <f t="shared" si="25"/>
        <v>271</v>
      </c>
      <c r="B65">
        <f t="shared" si="26"/>
        <v>271</v>
      </c>
      <c r="C65" s="15" t="s">
        <v>74</v>
      </c>
      <c r="D65" s="155">
        <v>52405383</v>
      </c>
      <c r="E65" s="155">
        <v>4266286</v>
      </c>
      <c r="F65" s="155">
        <f t="shared" si="49"/>
        <v>56671669</v>
      </c>
      <c r="G65" s="238">
        <v>10339</v>
      </c>
      <c r="H65" s="239">
        <f t="shared" si="27"/>
        <v>5481.349163362027</v>
      </c>
      <c r="I65" s="213">
        <f t="shared" si="28"/>
        <v>3.2456515495686331E-2</v>
      </c>
      <c r="J65" s="5">
        <f>Calculations!AS65</f>
        <v>51742265.846973076</v>
      </c>
      <c r="K65" s="5">
        <f t="shared" si="29"/>
        <v>4658558.1988420002</v>
      </c>
      <c r="L65" s="5">
        <f t="shared" si="30"/>
        <v>56400824.04581508</v>
      </c>
      <c r="M65" s="146">
        <v>10339</v>
      </c>
      <c r="N65" s="58">
        <f t="shared" si="31"/>
        <v>5455.1527271317418</v>
      </c>
      <c r="O65" s="36">
        <f t="shared" si="32"/>
        <v>3.0735951516862491E-2</v>
      </c>
      <c r="P65" s="211">
        <f>SUM(H65*'Front page'!$H$10)+H65</f>
        <v>5892.4503506141791</v>
      </c>
      <c r="Q65" s="211">
        <f t="shared" si="33"/>
        <v>56400824.04581508</v>
      </c>
      <c r="R65" s="218"/>
      <c r="S65" s="5">
        <f t="shared" si="34"/>
        <v>-270844.9541849196</v>
      </c>
      <c r="T65" s="5">
        <f t="shared" si="35"/>
        <v>-270844.9541849196</v>
      </c>
      <c r="U65" s="5">
        <f t="shared" si="36"/>
        <v>-270844.9541849196</v>
      </c>
      <c r="V65" s="5">
        <f t="shared" si="37"/>
        <v>0</v>
      </c>
      <c r="W65" s="55">
        <f t="shared" si="38"/>
        <v>-4.7791949480951333E-3</v>
      </c>
      <c r="X65" s="6">
        <f t="shared" si="39"/>
        <v>60922044.174999997</v>
      </c>
      <c r="Y65" s="5">
        <f t="shared" si="40"/>
        <v>56400824.04581508</v>
      </c>
      <c r="Z65" s="57">
        <f t="shared" si="41"/>
        <v>-270844.9541849196</v>
      </c>
      <c r="AA65" s="5">
        <f t="shared" si="42"/>
        <v>0</v>
      </c>
      <c r="AB65" s="58">
        <f>SUM(F65*'Front page'!$H$11)+F65</f>
        <v>57805102.380000003</v>
      </c>
      <c r="AC65" s="58">
        <f t="shared" si="43"/>
        <v>57805102.380000003</v>
      </c>
      <c r="AD65" s="58">
        <f t="shared" si="44"/>
        <v>57805102.380000003</v>
      </c>
      <c r="AE65" s="58">
        <f t="shared" si="45"/>
        <v>1133433.3800000027</v>
      </c>
      <c r="AF65" s="56">
        <f t="shared" si="46"/>
        <v>2.0000000000000049E-2</v>
      </c>
      <c r="AG65" s="58">
        <f t="shared" si="47"/>
        <v>1133433.3800000027</v>
      </c>
      <c r="AH65" s="56">
        <f t="shared" si="48"/>
        <v>2.0000000000000049E-2</v>
      </c>
    </row>
    <row r="66" spans="1:34">
      <c r="A66" t="str">
        <f t="shared" si="25"/>
        <v>272</v>
      </c>
      <c r="B66">
        <f t="shared" si="26"/>
        <v>272</v>
      </c>
      <c r="C66" s="15" t="s">
        <v>75</v>
      </c>
      <c r="D66" s="155">
        <v>22046970.469999999</v>
      </c>
      <c r="E66" s="155">
        <v>2147777.5999999996</v>
      </c>
      <c r="F66" s="155">
        <f t="shared" si="49"/>
        <v>24194748.07</v>
      </c>
      <c r="G66" s="238">
        <v>4221</v>
      </c>
      <c r="H66" s="239">
        <f t="shared" si="27"/>
        <v>5731.9943307273161</v>
      </c>
      <c r="I66" s="213">
        <f t="shared" si="28"/>
        <v>1.3856610004695328E-2</v>
      </c>
      <c r="J66" s="5">
        <f>Calculations!AS66</f>
        <v>21465393.596958656</v>
      </c>
      <c r="K66" s="5">
        <f t="shared" si="29"/>
        <v>2345259.3069871995</v>
      </c>
      <c r="L66" s="5">
        <f t="shared" si="30"/>
        <v>23810652.903945856</v>
      </c>
      <c r="M66" s="146">
        <v>4221</v>
      </c>
      <c r="N66" s="58">
        <f t="shared" si="31"/>
        <v>5640.9980819582697</v>
      </c>
      <c r="O66" s="36">
        <f t="shared" si="32"/>
        <v>1.2975751429554217E-2</v>
      </c>
      <c r="P66" s="211">
        <f>SUM(H66*'Front page'!$H$10)+H66</f>
        <v>6161.8939055318651</v>
      </c>
      <c r="Q66" s="211">
        <f t="shared" si="33"/>
        <v>23810652.903945856</v>
      </c>
      <c r="R66" s="218"/>
      <c r="S66" s="5">
        <f t="shared" si="34"/>
        <v>-384095.1660541445</v>
      </c>
      <c r="T66" s="5">
        <f t="shared" si="35"/>
        <v>-384095.1660541445</v>
      </c>
      <c r="U66" s="5">
        <f t="shared" si="36"/>
        <v>-384095.1660541445</v>
      </c>
      <c r="V66" s="5">
        <f t="shared" si="37"/>
        <v>0</v>
      </c>
      <c r="W66" s="55">
        <f t="shared" si="38"/>
        <v>-1.5875146331050204E-2</v>
      </c>
      <c r="X66" s="6">
        <f t="shared" si="39"/>
        <v>26009354.175250001</v>
      </c>
      <c r="Y66" s="5">
        <f t="shared" si="40"/>
        <v>23810652.903945856</v>
      </c>
      <c r="Z66" s="57">
        <f t="shared" si="41"/>
        <v>-384095.1660541445</v>
      </c>
      <c r="AA66" s="5">
        <f t="shared" si="42"/>
        <v>0</v>
      </c>
      <c r="AB66" s="58">
        <f>SUM(F66*'Front page'!$H$11)+F66</f>
        <v>24678643.031399999</v>
      </c>
      <c r="AC66" s="58">
        <f t="shared" si="43"/>
        <v>24678643.031399999</v>
      </c>
      <c r="AD66" s="58">
        <f t="shared" si="44"/>
        <v>24678643.031399999</v>
      </c>
      <c r="AE66" s="58">
        <f t="shared" si="45"/>
        <v>483894.96139999852</v>
      </c>
      <c r="AF66" s="56">
        <f t="shared" si="46"/>
        <v>1.9999999999999938E-2</v>
      </c>
      <c r="AG66" s="58">
        <f t="shared" si="47"/>
        <v>483894.96139999852</v>
      </c>
      <c r="AH66" s="56">
        <f t="shared" si="48"/>
        <v>1.9999999999999938E-2</v>
      </c>
    </row>
    <row r="67" spans="1:34">
      <c r="A67" t="str">
        <f t="shared" ref="A67:A98" si="50">RIGHT(C67,3)</f>
        <v>273</v>
      </c>
      <c r="B67">
        <f t="shared" ref="B67:B98" si="51">A67*1</f>
        <v>273</v>
      </c>
      <c r="C67" s="15" t="s">
        <v>76</v>
      </c>
      <c r="D67" s="155">
        <v>29173852.130000003</v>
      </c>
      <c r="E67" s="155">
        <v>2479988.08</v>
      </c>
      <c r="F67" s="155">
        <f t="shared" si="49"/>
        <v>31653840.210000001</v>
      </c>
      <c r="G67" s="238">
        <v>5617.5</v>
      </c>
      <c r="H67" s="239">
        <f t="shared" ref="H67:H98" si="52">SUM(F67/G67)</f>
        <v>5634.8625206942588</v>
      </c>
      <c r="I67" s="213">
        <f t="shared" ref="I67:I98" si="53">F67/$F$177</f>
        <v>1.8128517712683638E-2</v>
      </c>
      <c r="J67" s="5">
        <f>Calculations!AS67</f>
        <v>29999641.078595661</v>
      </c>
      <c r="K67" s="5">
        <f t="shared" ref="K67:K98" si="54">E67*1.091947</f>
        <v>2708015.5439917599</v>
      </c>
      <c r="L67" s="5">
        <f t="shared" ref="L67:L98" si="55">J67+K67</f>
        <v>32707656.62258742</v>
      </c>
      <c r="M67" s="146">
        <v>5617.5</v>
      </c>
      <c r="N67" s="58">
        <f t="shared" ref="N67:N98" si="56">SUM(L67/M67)</f>
        <v>5822.4577877325182</v>
      </c>
      <c r="O67" s="36">
        <f t="shared" ref="O67:O98" si="57">L67/$L$177</f>
        <v>1.7824224471710112E-2</v>
      </c>
      <c r="P67" s="211">
        <f>SUM(H67*'Front page'!$H$10)+H67</f>
        <v>6057.4772097463283</v>
      </c>
      <c r="Q67" s="211">
        <f t="shared" ref="Q67:Q98" si="58">MIN(N67,P67)*M67</f>
        <v>32707656.62258742</v>
      </c>
      <c r="R67" s="218"/>
      <c r="S67" s="5">
        <f t="shared" ref="S67:S98" si="59">L67-F67</f>
        <v>1053816.4125874192</v>
      </c>
      <c r="T67" s="5" t="str">
        <f t="shared" ref="T67:T98" si="60">IF(S67&lt;0,S67,"")</f>
        <v/>
      </c>
      <c r="U67" s="5">
        <f t="shared" ref="U67:U98" si="61">SUM(Q67-F67)</f>
        <v>1053816.4125874192</v>
      </c>
      <c r="V67" s="5">
        <f t="shared" ref="V67:V98" si="62">SUM(Q67-L67)</f>
        <v>0</v>
      </c>
      <c r="W67" s="55">
        <f t="shared" ref="W67:W98" si="63">SUM(S67/F67)</f>
        <v>3.3291897779104226E-2</v>
      </c>
      <c r="X67" s="6">
        <f t="shared" ref="X67:X98" si="64">SUM(F67*$X$1)+F67</f>
        <v>34027878.225749999</v>
      </c>
      <c r="Y67" s="5">
        <f t="shared" ref="Y67:Y98" si="65">MIN(L67,X67)</f>
        <v>32707656.62258742</v>
      </c>
      <c r="Z67" s="57">
        <f t="shared" ref="Z67:Z98" si="66">SUM(Y67-F67)</f>
        <v>1053816.4125874192</v>
      </c>
      <c r="AA67" s="5">
        <f t="shared" ref="AA67:AA98" si="67">SUM(Y67-L67)</f>
        <v>0</v>
      </c>
      <c r="AB67" s="58">
        <f>SUM(F67*'Front page'!$H$11)+F67</f>
        <v>32286917.014200002</v>
      </c>
      <c r="AC67" s="58">
        <f t="shared" ref="AC67:AC98" si="68">MAX(AB67,L67)</f>
        <v>32707656.62258742</v>
      </c>
      <c r="AD67" s="58">
        <f t="shared" ref="AD67:AD98" si="69">MAX(Q67,AB67)</f>
        <v>32707656.62258742</v>
      </c>
      <c r="AE67" s="58">
        <f t="shared" ref="AE67:AE98" si="70">SUM(AC67-F67)</f>
        <v>1053816.4125874192</v>
      </c>
      <c r="AF67" s="56">
        <f t="shared" ref="AF67:AF98" si="71">SUM(AE67/F67)</f>
        <v>3.3291897779104226E-2</v>
      </c>
      <c r="AG67" s="58">
        <f t="shared" ref="AG67:AG98" si="72">SUM(AD67-F67)</f>
        <v>1053816.4125874192</v>
      </c>
      <c r="AH67" s="56">
        <f t="shared" ref="AH67:AH98" si="73">SUM(AG67/F67)</f>
        <v>3.3291897779104226E-2</v>
      </c>
    </row>
    <row r="68" spans="1:34">
      <c r="A68" t="str">
        <f t="shared" si="50"/>
        <v>274</v>
      </c>
      <c r="B68">
        <f t="shared" si="51"/>
        <v>274</v>
      </c>
      <c r="C68" s="15" t="s">
        <v>77</v>
      </c>
      <c r="D68" s="155">
        <v>1395332.5</v>
      </c>
      <c r="E68" s="155">
        <v>218962.76</v>
      </c>
      <c r="F68" s="155">
        <f t="shared" si="49"/>
        <v>1614295.26</v>
      </c>
      <c r="G68" s="238">
        <v>134</v>
      </c>
      <c r="H68" s="239">
        <f t="shared" si="52"/>
        <v>12046.979552238807</v>
      </c>
      <c r="I68" s="213">
        <f t="shared" si="53"/>
        <v>9.2452542946640584E-4</v>
      </c>
      <c r="J68" s="5">
        <f>Calculations!AS68</f>
        <v>1417616.923588316</v>
      </c>
      <c r="K68" s="5">
        <f t="shared" si="54"/>
        <v>239095.72889372002</v>
      </c>
      <c r="L68" s="5">
        <f t="shared" si="55"/>
        <v>1656712.652482036</v>
      </c>
      <c r="M68" s="146">
        <v>134</v>
      </c>
      <c r="N68" s="58">
        <f t="shared" si="56"/>
        <v>12363.527257328627</v>
      </c>
      <c r="O68" s="36">
        <f t="shared" si="57"/>
        <v>9.0283503167785375E-4</v>
      </c>
      <c r="P68" s="211">
        <f>SUM(H68*'Front page'!$H$10)+H68</f>
        <v>12950.503018656716</v>
      </c>
      <c r="Q68" s="211">
        <f t="shared" si="58"/>
        <v>1656712.652482036</v>
      </c>
      <c r="R68" s="218"/>
      <c r="S68" s="5">
        <f t="shared" si="59"/>
        <v>42417.392482036026</v>
      </c>
      <c r="T68" s="5" t="str">
        <f t="shared" si="60"/>
        <v/>
      </c>
      <c r="U68" s="5">
        <f t="shared" si="61"/>
        <v>42417.392482036026</v>
      </c>
      <c r="V68" s="5">
        <f t="shared" si="62"/>
        <v>0</v>
      </c>
      <c r="W68" s="55">
        <f t="shared" si="63"/>
        <v>2.6276105451759815E-2</v>
      </c>
      <c r="X68" s="6">
        <f t="shared" si="64"/>
        <v>1735367.4044999999</v>
      </c>
      <c r="Y68" s="5">
        <f t="shared" si="65"/>
        <v>1656712.652482036</v>
      </c>
      <c r="Z68" s="57">
        <f t="shared" si="66"/>
        <v>42417.392482036026</v>
      </c>
      <c r="AA68" s="5">
        <f t="shared" si="67"/>
        <v>0</v>
      </c>
      <c r="AB68" s="58">
        <f>SUM(F68*'Front page'!$H$11)+F68</f>
        <v>1646581.1651999999</v>
      </c>
      <c r="AC68" s="58">
        <f t="shared" si="68"/>
        <v>1656712.652482036</v>
      </c>
      <c r="AD68" s="58">
        <f t="shared" si="69"/>
        <v>1656712.652482036</v>
      </c>
      <c r="AE68" s="58">
        <f t="shared" si="70"/>
        <v>42417.392482036026</v>
      </c>
      <c r="AF68" s="56">
        <f t="shared" si="71"/>
        <v>2.6276105451759815E-2</v>
      </c>
      <c r="AG68" s="58">
        <f t="shared" si="72"/>
        <v>42417.392482036026</v>
      </c>
      <c r="AH68" s="56">
        <f t="shared" si="73"/>
        <v>2.6276105451759815E-2</v>
      </c>
    </row>
    <row r="69" spans="1:34">
      <c r="A69" t="str">
        <f t="shared" si="50"/>
        <v>281</v>
      </c>
      <c r="B69">
        <f t="shared" si="51"/>
        <v>281</v>
      </c>
      <c r="C69" s="15" t="s">
        <v>78</v>
      </c>
      <c r="D69" s="155">
        <v>11721234</v>
      </c>
      <c r="E69" s="155">
        <v>1253086</v>
      </c>
      <c r="F69" s="155">
        <f t="shared" si="49"/>
        <v>12974320</v>
      </c>
      <c r="G69" s="238">
        <v>2275</v>
      </c>
      <c r="H69" s="239">
        <f t="shared" si="52"/>
        <v>5702.9978021978022</v>
      </c>
      <c r="I69" s="213">
        <f t="shared" si="53"/>
        <v>7.4305420249047745E-3</v>
      </c>
      <c r="J69" s="5">
        <f>Calculations!AS69</f>
        <v>11318093.894595971</v>
      </c>
      <c r="K69" s="5">
        <f t="shared" si="54"/>
        <v>1368303.498442</v>
      </c>
      <c r="L69" s="5">
        <f t="shared" si="55"/>
        <v>12686397.393037971</v>
      </c>
      <c r="M69" s="146">
        <v>2275</v>
      </c>
      <c r="N69" s="58">
        <f t="shared" si="56"/>
        <v>5576.4384145221848</v>
      </c>
      <c r="O69" s="36">
        <f t="shared" si="57"/>
        <v>6.9135247896258056E-3</v>
      </c>
      <c r="P69" s="211">
        <f>SUM(H69*'Front page'!$H$10)+H69</f>
        <v>6130.7226373626372</v>
      </c>
      <c r="Q69" s="211">
        <f t="shared" si="58"/>
        <v>12686397.393037971</v>
      </c>
      <c r="R69" s="218"/>
      <c r="S69" s="5">
        <f t="shared" si="59"/>
        <v>-287922.60696202889</v>
      </c>
      <c r="T69" s="5">
        <f t="shared" si="60"/>
        <v>-287922.60696202889</v>
      </c>
      <c r="U69" s="5">
        <f t="shared" si="61"/>
        <v>-287922.60696202889</v>
      </c>
      <c r="V69" s="5">
        <f t="shared" si="62"/>
        <v>0</v>
      </c>
      <c r="W69" s="55">
        <f t="shared" si="63"/>
        <v>-2.2191730045353353E-2</v>
      </c>
      <c r="X69" s="6">
        <f t="shared" si="64"/>
        <v>13947394</v>
      </c>
      <c r="Y69" s="5">
        <f t="shared" si="65"/>
        <v>12686397.393037971</v>
      </c>
      <c r="Z69" s="57">
        <f t="shared" si="66"/>
        <v>-287922.60696202889</v>
      </c>
      <c r="AA69" s="5">
        <f t="shared" si="67"/>
        <v>0</v>
      </c>
      <c r="AB69" s="58">
        <f>SUM(F69*'Front page'!$H$11)+F69</f>
        <v>13233806.4</v>
      </c>
      <c r="AC69" s="58">
        <f t="shared" si="68"/>
        <v>13233806.4</v>
      </c>
      <c r="AD69" s="58">
        <f t="shared" si="69"/>
        <v>13233806.4</v>
      </c>
      <c r="AE69" s="58">
        <f t="shared" si="70"/>
        <v>259486.40000000037</v>
      </c>
      <c r="AF69" s="56">
        <f t="shared" si="71"/>
        <v>2.0000000000000028E-2</v>
      </c>
      <c r="AG69" s="58">
        <f t="shared" si="72"/>
        <v>259486.40000000037</v>
      </c>
      <c r="AH69" s="56">
        <f t="shared" si="73"/>
        <v>2.0000000000000028E-2</v>
      </c>
    </row>
    <row r="70" spans="1:34">
      <c r="A70" t="str">
        <f t="shared" si="50"/>
        <v>282</v>
      </c>
      <c r="B70">
        <f t="shared" si="51"/>
        <v>282</v>
      </c>
      <c r="C70" s="15" t="s">
        <v>79</v>
      </c>
      <c r="D70" s="155">
        <v>2291006.7299999995</v>
      </c>
      <c r="E70" s="155">
        <v>249781.09</v>
      </c>
      <c r="F70" s="155">
        <f t="shared" si="49"/>
        <v>2540787.8199999994</v>
      </c>
      <c r="G70" s="238">
        <v>302</v>
      </c>
      <c r="H70" s="239">
        <f t="shared" si="52"/>
        <v>8413.2047019867532</v>
      </c>
      <c r="I70" s="213">
        <f t="shared" si="53"/>
        <v>1.4551383558349248E-3</v>
      </c>
      <c r="J70" s="5">
        <f>Calculations!AS70</f>
        <v>2166698.6182739558</v>
      </c>
      <c r="K70" s="5">
        <f t="shared" si="54"/>
        <v>272747.71188223001</v>
      </c>
      <c r="L70" s="5">
        <f t="shared" si="55"/>
        <v>2439446.3301561857</v>
      </c>
      <c r="M70" s="146">
        <v>302</v>
      </c>
      <c r="N70" s="58">
        <f t="shared" si="56"/>
        <v>8077.636854821807</v>
      </c>
      <c r="O70" s="36">
        <f t="shared" si="57"/>
        <v>1.3293902243478311E-3</v>
      </c>
      <c r="P70" s="211">
        <f>SUM(H70*'Front page'!$H$10)+H70</f>
        <v>9044.1950546357602</v>
      </c>
      <c r="Q70" s="211">
        <f t="shared" si="58"/>
        <v>2439446.3301561857</v>
      </c>
      <c r="R70" s="218"/>
      <c r="S70" s="5">
        <f t="shared" si="59"/>
        <v>-101341.4898438137</v>
      </c>
      <c r="T70" s="5">
        <f t="shared" si="60"/>
        <v>-101341.4898438137</v>
      </c>
      <c r="U70" s="5">
        <f t="shared" si="61"/>
        <v>-101341.4898438137</v>
      </c>
      <c r="V70" s="5">
        <f t="shared" si="62"/>
        <v>0</v>
      </c>
      <c r="W70" s="55">
        <f t="shared" si="63"/>
        <v>-3.9885853138186773E-2</v>
      </c>
      <c r="X70" s="6">
        <f t="shared" si="64"/>
        <v>2731346.9064999991</v>
      </c>
      <c r="Y70" s="5">
        <f t="shared" si="65"/>
        <v>2439446.3301561857</v>
      </c>
      <c r="Z70" s="57">
        <f t="shared" si="66"/>
        <v>-101341.4898438137</v>
      </c>
      <c r="AA70" s="5">
        <f t="shared" si="67"/>
        <v>0</v>
      </c>
      <c r="AB70" s="58">
        <f>SUM(F70*'Front page'!$H$11)+F70</f>
        <v>2591603.5763999992</v>
      </c>
      <c r="AC70" s="58">
        <f t="shared" si="68"/>
        <v>2591603.5763999992</v>
      </c>
      <c r="AD70" s="58">
        <f t="shared" si="69"/>
        <v>2591603.5763999992</v>
      </c>
      <c r="AE70" s="58">
        <f t="shared" si="70"/>
        <v>50815.756399999838</v>
      </c>
      <c r="AF70" s="56">
        <f t="shared" si="71"/>
        <v>1.9999999999999941E-2</v>
      </c>
      <c r="AG70" s="58">
        <f t="shared" si="72"/>
        <v>50815.756399999838</v>
      </c>
      <c r="AH70" s="56">
        <f t="shared" si="73"/>
        <v>1.9999999999999941E-2</v>
      </c>
    </row>
    <row r="71" spans="1:34">
      <c r="A71" t="str">
        <f t="shared" si="50"/>
        <v>283</v>
      </c>
      <c r="B71">
        <f t="shared" si="51"/>
        <v>283</v>
      </c>
      <c r="C71" s="15" t="s">
        <v>80</v>
      </c>
      <c r="D71" s="155">
        <v>1831852.0299999998</v>
      </c>
      <c r="E71" s="155">
        <v>239061.18</v>
      </c>
      <c r="F71" s="155">
        <f t="shared" si="49"/>
        <v>2070913.2099999997</v>
      </c>
      <c r="G71" s="238">
        <v>222</v>
      </c>
      <c r="H71" s="239">
        <f t="shared" si="52"/>
        <v>9328.4378828828812</v>
      </c>
      <c r="I71" s="213">
        <f t="shared" si="53"/>
        <v>1.1860357719584104E-3</v>
      </c>
      <c r="J71" s="5">
        <f>Calculations!AS71</f>
        <v>1795566.2583004078</v>
      </c>
      <c r="K71" s="5">
        <f t="shared" si="54"/>
        <v>261042.13831745999</v>
      </c>
      <c r="L71" s="5">
        <f t="shared" si="55"/>
        <v>2056608.3966178678</v>
      </c>
      <c r="M71" s="146">
        <v>222</v>
      </c>
      <c r="N71" s="58">
        <f t="shared" si="56"/>
        <v>9264.0017865669724</v>
      </c>
      <c r="O71" s="36">
        <f t="shared" si="57"/>
        <v>1.1207605037166009E-3</v>
      </c>
      <c r="P71" s="211">
        <f>SUM(H71*'Front page'!$H$10)+H71</f>
        <v>10028.070724099098</v>
      </c>
      <c r="Q71" s="211">
        <f t="shared" si="58"/>
        <v>2056608.396617868</v>
      </c>
      <c r="R71" s="218"/>
      <c r="S71" s="5">
        <f t="shared" si="59"/>
        <v>-14304.813382131979</v>
      </c>
      <c r="T71" s="5">
        <f t="shared" si="60"/>
        <v>-14304.813382131979</v>
      </c>
      <c r="U71" s="5">
        <f t="shared" si="61"/>
        <v>-14304.813382131746</v>
      </c>
      <c r="V71" s="5">
        <f t="shared" si="62"/>
        <v>2.3283064365386963E-10</v>
      </c>
      <c r="W71" s="55">
        <f t="shared" si="63"/>
        <v>-6.9074905278777863E-3</v>
      </c>
      <c r="X71" s="6">
        <f t="shared" si="64"/>
        <v>2226231.7007499998</v>
      </c>
      <c r="Y71" s="5">
        <f t="shared" si="65"/>
        <v>2056608.3966178678</v>
      </c>
      <c r="Z71" s="57">
        <f t="shared" si="66"/>
        <v>-14304.813382131979</v>
      </c>
      <c r="AA71" s="5">
        <f t="shared" si="67"/>
        <v>0</v>
      </c>
      <c r="AB71" s="58">
        <f>SUM(F71*'Front page'!$H$11)+F71</f>
        <v>2112331.4741999996</v>
      </c>
      <c r="AC71" s="58">
        <f t="shared" si="68"/>
        <v>2112331.4741999996</v>
      </c>
      <c r="AD71" s="58">
        <f t="shared" si="69"/>
        <v>2112331.4741999996</v>
      </c>
      <c r="AE71" s="58">
        <f t="shared" si="70"/>
        <v>41418.26419999986</v>
      </c>
      <c r="AF71" s="56">
        <f t="shared" si="71"/>
        <v>1.9999999999999934E-2</v>
      </c>
      <c r="AG71" s="58">
        <f t="shared" si="72"/>
        <v>41418.26419999986</v>
      </c>
      <c r="AH71" s="56">
        <f t="shared" si="73"/>
        <v>1.9999999999999934E-2</v>
      </c>
    </row>
    <row r="72" spans="1:34">
      <c r="A72" t="str">
        <f t="shared" si="50"/>
        <v>285</v>
      </c>
      <c r="B72">
        <f t="shared" si="51"/>
        <v>285</v>
      </c>
      <c r="C72" s="15" t="s">
        <v>81</v>
      </c>
      <c r="D72" s="155">
        <v>2843882.02</v>
      </c>
      <c r="E72" s="155">
        <v>347149.46</v>
      </c>
      <c r="F72" s="155">
        <f t="shared" si="49"/>
        <v>3191031.48</v>
      </c>
      <c r="G72" s="238">
        <v>429</v>
      </c>
      <c r="H72" s="239">
        <f t="shared" si="52"/>
        <v>7438.3018181818179</v>
      </c>
      <c r="I72" s="213">
        <f t="shared" si="53"/>
        <v>1.8275403655015506E-3</v>
      </c>
      <c r="J72" s="5">
        <f>Calculations!AS72</f>
        <v>2996704.2547396068</v>
      </c>
      <c r="K72" s="5">
        <f t="shared" si="54"/>
        <v>379068.81139862002</v>
      </c>
      <c r="L72" s="5">
        <f t="shared" si="55"/>
        <v>3375773.0661382265</v>
      </c>
      <c r="M72" s="146">
        <v>429</v>
      </c>
      <c r="N72" s="58">
        <f t="shared" si="56"/>
        <v>7868.9348861030921</v>
      </c>
      <c r="O72" s="36">
        <f t="shared" si="57"/>
        <v>1.8396468322603087E-3</v>
      </c>
      <c r="P72" s="211">
        <f>SUM(H72*'Front page'!$H$10)+H72</f>
        <v>7996.174454545454</v>
      </c>
      <c r="Q72" s="211">
        <f t="shared" si="58"/>
        <v>3375773.0661382265</v>
      </c>
      <c r="R72" s="218"/>
      <c r="S72" s="5">
        <f t="shared" si="59"/>
        <v>184741.58613822656</v>
      </c>
      <c r="T72" s="5" t="str">
        <f t="shared" si="60"/>
        <v/>
      </c>
      <c r="U72" s="5">
        <f t="shared" si="61"/>
        <v>184741.58613822656</v>
      </c>
      <c r="V72" s="5">
        <f t="shared" si="62"/>
        <v>0</v>
      </c>
      <c r="W72" s="55">
        <f t="shared" si="63"/>
        <v>5.7894003019433253E-2</v>
      </c>
      <c r="X72" s="6">
        <f t="shared" si="64"/>
        <v>3430358.841</v>
      </c>
      <c r="Y72" s="5">
        <f t="shared" si="65"/>
        <v>3375773.0661382265</v>
      </c>
      <c r="Z72" s="57">
        <f t="shared" si="66"/>
        <v>184741.58613822656</v>
      </c>
      <c r="AA72" s="5">
        <f t="shared" si="67"/>
        <v>0</v>
      </c>
      <c r="AB72" s="58">
        <f>SUM(F72*'Front page'!$H$11)+F72</f>
        <v>3254852.1096000001</v>
      </c>
      <c r="AC72" s="58">
        <f t="shared" si="68"/>
        <v>3375773.0661382265</v>
      </c>
      <c r="AD72" s="58">
        <f t="shared" si="69"/>
        <v>3375773.0661382265</v>
      </c>
      <c r="AE72" s="58">
        <f t="shared" si="70"/>
        <v>184741.58613822656</v>
      </c>
      <c r="AF72" s="56">
        <f t="shared" si="71"/>
        <v>5.7894003019433253E-2</v>
      </c>
      <c r="AG72" s="58">
        <f t="shared" si="72"/>
        <v>184741.58613822656</v>
      </c>
      <c r="AH72" s="56">
        <f t="shared" si="73"/>
        <v>5.7894003019433253E-2</v>
      </c>
    </row>
    <row r="73" spans="1:34">
      <c r="A73" t="str">
        <f t="shared" si="50"/>
        <v>287</v>
      </c>
      <c r="B73">
        <f t="shared" si="51"/>
        <v>287</v>
      </c>
      <c r="C73" s="15" t="s">
        <v>82</v>
      </c>
      <c r="D73" s="155">
        <v>1953683.63</v>
      </c>
      <c r="E73" s="155">
        <v>183998.5</v>
      </c>
      <c r="F73" s="155">
        <f t="shared" si="49"/>
        <v>2137682.13</v>
      </c>
      <c r="G73" s="238">
        <v>257</v>
      </c>
      <c r="H73" s="239">
        <f t="shared" si="52"/>
        <v>8317.8292996108939</v>
      </c>
      <c r="I73" s="213">
        <f t="shared" si="53"/>
        <v>1.2242750990304656E-3</v>
      </c>
      <c r="J73" s="5">
        <f>Calculations!AS73</f>
        <v>1976462.9401961165</v>
      </c>
      <c r="K73" s="5">
        <f t="shared" si="54"/>
        <v>200916.61007950001</v>
      </c>
      <c r="L73" s="5">
        <f t="shared" si="55"/>
        <v>2177379.5502756163</v>
      </c>
      <c r="M73" s="146">
        <v>257</v>
      </c>
      <c r="N73" s="58">
        <f t="shared" si="56"/>
        <v>8472.2939699440321</v>
      </c>
      <c r="O73" s="36">
        <f t="shared" si="57"/>
        <v>1.1865754343715997E-3</v>
      </c>
      <c r="P73" s="211">
        <f>SUM(H73*'Front page'!$H$10)+H73</f>
        <v>8941.666497081711</v>
      </c>
      <c r="Q73" s="211">
        <f t="shared" si="58"/>
        <v>2177379.5502756163</v>
      </c>
      <c r="R73" s="218"/>
      <c r="S73" s="5">
        <f t="shared" si="59"/>
        <v>39697.42027561646</v>
      </c>
      <c r="T73" s="5" t="str">
        <f t="shared" si="60"/>
        <v/>
      </c>
      <c r="U73" s="5">
        <f t="shared" si="61"/>
        <v>39697.42027561646</v>
      </c>
      <c r="V73" s="5">
        <f t="shared" si="62"/>
        <v>0</v>
      </c>
      <c r="W73" s="55">
        <f t="shared" si="63"/>
        <v>1.8570310205856689E-2</v>
      </c>
      <c r="X73" s="6">
        <f t="shared" si="64"/>
        <v>2298008.28975</v>
      </c>
      <c r="Y73" s="5">
        <f t="shared" si="65"/>
        <v>2177379.5502756163</v>
      </c>
      <c r="Z73" s="57">
        <f t="shared" si="66"/>
        <v>39697.42027561646</v>
      </c>
      <c r="AA73" s="5">
        <f t="shared" si="67"/>
        <v>0</v>
      </c>
      <c r="AB73" s="58">
        <f>SUM(F73*'Front page'!$H$11)+F73</f>
        <v>2180435.7725999998</v>
      </c>
      <c r="AC73" s="58">
        <f t="shared" si="68"/>
        <v>2180435.7725999998</v>
      </c>
      <c r="AD73" s="58">
        <f t="shared" si="69"/>
        <v>2180435.7725999998</v>
      </c>
      <c r="AE73" s="58">
        <f t="shared" si="70"/>
        <v>42753.642599999905</v>
      </c>
      <c r="AF73" s="56">
        <f t="shared" si="71"/>
        <v>1.9999999999999955E-2</v>
      </c>
      <c r="AG73" s="58">
        <f t="shared" si="72"/>
        <v>42753.642599999905</v>
      </c>
      <c r="AH73" s="56">
        <f t="shared" si="73"/>
        <v>1.9999999999999955E-2</v>
      </c>
    </row>
    <row r="74" spans="1:34">
      <c r="A74" t="str">
        <f t="shared" si="50"/>
        <v>288</v>
      </c>
      <c r="B74">
        <f t="shared" si="51"/>
        <v>288</v>
      </c>
      <c r="C74" s="15" t="s">
        <v>83</v>
      </c>
      <c r="D74" s="155">
        <v>1960641.96</v>
      </c>
      <c r="E74" s="155">
        <v>261096.54</v>
      </c>
      <c r="F74" s="155">
        <f t="shared" si="49"/>
        <v>2221738.5</v>
      </c>
      <c r="G74" s="238">
        <v>225</v>
      </c>
      <c r="H74" s="239">
        <f t="shared" si="52"/>
        <v>9874.3933333333334</v>
      </c>
      <c r="I74" s="213">
        <f t="shared" si="53"/>
        <v>1.2724151471983807E-3</v>
      </c>
      <c r="J74" s="5">
        <f>Calculations!AS74</f>
        <v>2071620.3369708431</v>
      </c>
      <c r="K74" s="5">
        <f t="shared" si="54"/>
        <v>285103.58356338</v>
      </c>
      <c r="L74" s="5">
        <f t="shared" si="55"/>
        <v>2356723.9205342233</v>
      </c>
      <c r="M74" s="146">
        <v>225</v>
      </c>
      <c r="N74" s="58">
        <f t="shared" si="56"/>
        <v>10474.328535707658</v>
      </c>
      <c r="O74" s="36">
        <f t="shared" si="57"/>
        <v>1.2843101742862693E-3</v>
      </c>
      <c r="P74" s="211">
        <f>SUM(H74*'Front page'!$H$10)+H74</f>
        <v>10614.972833333333</v>
      </c>
      <c r="Q74" s="211">
        <f t="shared" si="58"/>
        <v>2356723.9205342233</v>
      </c>
      <c r="R74" s="218"/>
      <c r="S74" s="5">
        <f t="shared" si="59"/>
        <v>134985.42053422332</v>
      </c>
      <c r="T74" s="5" t="str">
        <f t="shared" si="60"/>
        <v/>
      </c>
      <c r="U74" s="5">
        <f t="shared" si="61"/>
        <v>134985.42053422332</v>
      </c>
      <c r="V74" s="5">
        <f t="shared" si="62"/>
        <v>0</v>
      </c>
      <c r="W74" s="55">
        <f t="shared" si="63"/>
        <v>6.0756664447334068E-2</v>
      </c>
      <c r="X74" s="6">
        <f t="shared" si="64"/>
        <v>2388368.8875000002</v>
      </c>
      <c r="Y74" s="5">
        <f t="shared" si="65"/>
        <v>2356723.9205342233</v>
      </c>
      <c r="Z74" s="57">
        <f t="shared" si="66"/>
        <v>134985.42053422332</v>
      </c>
      <c r="AA74" s="5">
        <f t="shared" si="67"/>
        <v>0</v>
      </c>
      <c r="AB74" s="58">
        <f>SUM(F74*'Front page'!$H$11)+F74</f>
        <v>2266173.27</v>
      </c>
      <c r="AC74" s="58">
        <f t="shared" si="68"/>
        <v>2356723.9205342233</v>
      </c>
      <c r="AD74" s="58">
        <f t="shared" si="69"/>
        <v>2356723.9205342233</v>
      </c>
      <c r="AE74" s="58">
        <f t="shared" si="70"/>
        <v>134985.42053422332</v>
      </c>
      <c r="AF74" s="56">
        <f t="shared" si="71"/>
        <v>6.0756664447334068E-2</v>
      </c>
      <c r="AG74" s="58">
        <f t="shared" si="72"/>
        <v>134985.42053422332</v>
      </c>
      <c r="AH74" s="56">
        <f t="shared" si="73"/>
        <v>6.0756664447334068E-2</v>
      </c>
    </row>
    <row r="75" spans="1:34">
      <c r="A75" t="str">
        <f t="shared" si="50"/>
        <v>291</v>
      </c>
      <c r="B75">
        <f t="shared" si="51"/>
        <v>291</v>
      </c>
      <c r="C75" s="15" t="s">
        <v>84</v>
      </c>
      <c r="D75" s="155">
        <v>4540409</v>
      </c>
      <c r="E75" s="155">
        <v>461584</v>
      </c>
      <c r="F75" s="155">
        <f t="shared" si="49"/>
        <v>5001993</v>
      </c>
      <c r="G75" s="238">
        <v>765.5</v>
      </c>
      <c r="H75" s="239">
        <f t="shared" si="52"/>
        <v>6534.2821685173094</v>
      </c>
      <c r="I75" s="213">
        <f t="shared" si="53"/>
        <v>2.864698820036773E-3</v>
      </c>
      <c r="J75" s="5">
        <f>Calculations!AS75</f>
        <v>4499283.9221704565</v>
      </c>
      <c r="K75" s="5">
        <f t="shared" si="54"/>
        <v>504025.26404799998</v>
      </c>
      <c r="L75" s="5">
        <f t="shared" si="55"/>
        <v>5003309.1862184564</v>
      </c>
      <c r="M75" s="146">
        <v>765.5</v>
      </c>
      <c r="N75" s="58">
        <f t="shared" si="56"/>
        <v>6536.0015495995513</v>
      </c>
      <c r="O75" s="36">
        <f t="shared" si="57"/>
        <v>2.7265819457986044E-3</v>
      </c>
      <c r="P75" s="211">
        <f>SUM(H75*'Front page'!$H$10)+H75</f>
        <v>7024.3533311561077</v>
      </c>
      <c r="Q75" s="211">
        <f t="shared" si="58"/>
        <v>5003309.1862184564</v>
      </c>
      <c r="R75" s="218"/>
      <c r="S75" s="5">
        <f t="shared" si="59"/>
        <v>1316.1862184563652</v>
      </c>
      <c r="T75" s="5" t="str">
        <f t="shared" si="60"/>
        <v/>
      </c>
      <c r="U75" s="5">
        <f t="shared" si="61"/>
        <v>1316.1862184563652</v>
      </c>
      <c r="V75" s="5">
        <f t="shared" si="62"/>
        <v>0</v>
      </c>
      <c r="W75" s="55">
        <f t="shared" si="63"/>
        <v>2.6313235913292263E-4</v>
      </c>
      <c r="X75" s="6">
        <f t="shared" si="64"/>
        <v>5377142.4749999996</v>
      </c>
      <c r="Y75" s="5">
        <f t="shared" si="65"/>
        <v>5003309.1862184564</v>
      </c>
      <c r="Z75" s="57">
        <f t="shared" si="66"/>
        <v>1316.1862184563652</v>
      </c>
      <c r="AA75" s="5">
        <f t="shared" si="67"/>
        <v>0</v>
      </c>
      <c r="AB75" s="58">
        <f>SUM(F75*'Front page'!$H$11)+F75</f>
        <v>5102032.8600000003</v>
      </c>
      <c r="AC75" s="58">
        <f t="shared" si="68"/>
        <v>5102032.8600000003</v>
      </c>
      <c r="AD75" s="58">
        <f t="shared" si="69"/>
        <v>5102032.8600000003</v>
      </c>
      <c r="AE75" s="58">
        <f t="shared" si="70"/>
        <v>100039.86000000034</v>
      </c>
      <c r="AF75" s="56">
        <f t="shared" si="71"/>
        <v>2.0000000000000066E-2</v>
      </c>
      <c r="AG75" s="58">
        <f t="shared" si="72"/>
        <v>100039.86000000034</v>
      </c>
      <c r="AH75" s="56">
        <f t="shared" si="73"/>
        <v>2.0000000000000066E-2</v>
      </c>
    </row>
    <row r="76" spans="1:34">
      <c r="A76" t="str">
        <f t="shared" si="50"/>
        <v>292</v>
      </c>
      <c r="B76">
        <f t="shared" si="51"/>
        <v>292</v>
      </c>
      <c r="C76" s="15" t="s">
        <v>85</v>
      </c>
      <c r="D76" s="155">
        <v>1400734.55</v>
      </c>
      <c r="E76" s="155">
        <v>136147.91</v>
      </c>
      <c r="F76" s="155">
        <f t="shared" ref="F76:F107" si="74">D76+E76</f>
        <v>1536882.46</v>
      </c>
      <c r="G76" s="238">
        <v>94</v>
      </c>
      <c r="H76" s="239">
        <f t="shared" si="52"/>
        <v>16349.813404255319</v>
      </c>
      <c r="I76" s="213">
        <f t="shared" si="53"/>
        <v>8.801902301137193E-4</v>
      </c>
      <c r="J76" s="5">
        <f>Calculations!AS76</f>
        <v>1433028.7000245356</v>
      </c>
      <c r="K76" s="5">
        <f t="shared" si="54"/>
        <v>148666.30188077001</v>
      </c>
      <c r="L76" s="5">
        <f t="shared" si="55"/>
        <v>1581695.0019053058</v>
      </c>
      <c r="M76" s="146">
        <v>94</v>
      </c>
      <c r="N76" s="58">
        <f t="shared" si="56"/>
        <v>16826.542573460702</v>
      </c>
      <c r="O76" s="36">
        <f t="shared" si="57"/>
        <v>8.6195373410740816E-4</v>
      </c>
      <c r="P76" s="211">
        <f>SUM(H76*'Front page'!$H$10)+H76</f>
        <v>17576.049409574469</v>
      </c>
      <c r="Q76" s="211">
        <f t="shared" si="58"/>
        <v>1581695.001905306</v>
      </c>
      <c r="R76" s="218"/>
      <c r="S76" s="5">
        <f t="shared" si="59"/>
        <v>44812.541905305814</v>
      </c>
      <c r="T76" s="5" t="str">
        <f t="shared" si="60"/>
        <v/>
      </c>
      <c r="U76" s="5">
        <f t="shared" si="61"/>
        <v>44812.541905306047</v>
      </c>
      <c r="V76" s="5">
        <f t="shared" si="62"/>
        <v>2.3283064365386963E-10</v>
      </c>
      <c r="W76" s="55">
        <f t="shared" si="63"/>
        <v>2.9158080121043099E-2</v>
      </c>
      <c r="X76" s="6">
        <f t="shared" si="64"/>
        <v>1652148.6444999999</v>
      </c>
      <c r="Y76" s="5">
        <f t="shared" si="65"/>
        <v>1581695.0019053058</v>
      </c>
      <c r="Z76" s="57">
        <f t="shared" si="66"/>
        <v>44812.541905305814</v>
      </c>
      <c r="AA76" s="5">
        <f t="shared" si="67"/>
        <v>0</v>
      </c>
      <c r="AB76" s="58">
        <f>SUM(F76*'Front page'!$H$11)+F76</f>
        <v>1567620.1092000001</v>
      </c>
      <c r="AC76" s="58">
        <f t="shared" si="68"/>
        <v>1581695.0019053058</v>
      </c>
      <c r="AD76" s="58">
        <f t="shared" si="69"/>
        <v>1581695.001905306</v>
      </c>
      <c r="AE76" s="58">
        <f t="shared" si="70"/>
        <v>44812.541905305814</v>
      </c>
      <c r="AF76" s="56">
        <f t="shared" si="71"/>
        <v>2.9158080121043099E-2</v>
      </c>
      <c r="AG76" s="58">
        <f t="shared" si="72"/>
        <v>44812.541905306047</v>
      </c>
      <c r="AH76" s="56">
        <f t="shared" si="73"/>
        <v>2.9158080121043251E-2</v>
      </c>
    </row>
    <row r="77" spans="1:34">
      <c r="A77" t="str">
        <f t="shared" si="50"/>
        <v>302</v>
      </c>
      <c r="B77">
        <f t="shared" si="51"/>
        <v>302</v>
      </c>
      <c r="C77" s="15" t="s">
        <v>86</v>
      </c>
      <c r="D77" s="155">
        <v>1594818.79</v>
      </c>
      <c r="E77" s="155">
        <v>175603.16999999998</v>
      </c>
      <c r="F77" s="155">
        <f t="shared" si="74"/>
        <v>1770421.96</v>
      </c>
      <c r="G77" s="238">
        <v>139.5</v>
      </c>
      <c r="H77" s="239">
        <f t="shared" si="52"/>
        <v>12691.196845878136</v>
      </c>
      <c r="I77" s="213">
        <f t="shared" si="53"/>
        <v>1.0139409830799825E-3</v>
      </c>
      <c r="J77" s="5">
        <f>Calculations!AS77</f>
        <v>1450570.1973970097</v>
      </c>
      <c r="K77" s="5">
        <f t="shared" si="54"/>
        <v>191749.35467198998</v>
      </c>
      <c r="L77" s="5">
        <f t="shared" si="55"/>
        <v>1642319.5520689997</v>
      </c>
      <c r="M77" s="146">
        <v>139.5</v>
      </c>
      <c r="N77" s="58">
        <f t="shared" si="56"/>
        <v>11772.900014831539</v>
      </c>
      <c r="O77" s="36">
        <f t="shared" si="57"/>
        <v>8.9499142931996872E-4</v>
      </c>
      <c r="P77" s="211">
        <f>SUM(H77*'Front page'!$H$10)+H77</f>
        <v>13643.036609318995</v>
      </c>
      <c r="Q77" s="211">
        <f t="shared" si="58"/>
        <v>1642319.5520689997</v>
      </c>
      <c r="R77" s="218"/>
      <c r="S77" s="5">
        <f t="shared" si="59"/>
        <v>-128102.40793100023</v>
      </c>
      <c r="T77" s="5">
        <f t="shared" si="60"/>
        <v>-128102.40793100023</v>
      </c>
      <c r="U77" s="5">
        <f t="shared" si="61"/>
        <v>-128102.40793100023</v>
      </c>
      <c r="V77" s="5">
        <f t="shared" si="62"/>
        <v>0</v>
      </c>
      <c r="W77" s="55">
        <f t="shared" si="63"/>
        <v>-7.2356992189026068E-2</v>
      </c>
      <c r="X77" s="6">
        <f t="shared" si="64"/>
        <v>1903203.6069999998</v>
      </c>
      <c r="Y77" s="5">
        <f t="shared" si="65"/>
        <v>1642319.5520689997</v>
      </c>
      <c r="Z77" s="57">
        <f t="shared" si="66"/>
        <v>-128102.40793100023</v>
      </c>
      <c r="AA77" s="5">
        <f t="shared" si="67"/>
        <v>0</v>
      </c>
      <c r="AB77" s="58">
        <f>SUM(F77*'Front page'!$H$11)+F77</f>
        <v>1805830.3991999999</v>
      </c>
      <c r="AC77" s="58">
        <f t="shared" si="68"/>
        <v>1805830.3991999999</v>
      </c>
      <c r="AD77" s="58">
        <f t="shared" si="69"/>
        <v>1805830.3991999999</v>
      </c>
      <c r="AE77" s="58">
        <f t="shared" si="70"/>
        <v>35408.439199999906</v>
      </c>
      <c r="AF77" s="56">
        <f t="shared" si="71"/>
        <v>1.9999999999999948E-2</v>
      </c>
      <c r="AG77" s="58">
        <f t="shared" si="72"/>
        <v>35408.439199999906</v>
      </c>
      <c r="AH77" s="56">
        <f t="shared" si="73"/>
        <v>1.9999999999999948E-2</v>
      </c>
    </row>
    <row r="78" spans="1:34">
      <c r="A78" t="str">
        <f t="shared" si="50"/>
        <v>304</v>
      </c>
      <c r="B78">
        <f t="shared" si="51"/>
        <v>304</v>
      </c>
      <c r="C78" s="15" t="s">
        <v>87</v>
      </c>
      <c r="D78" s="155">
        <v>2708085.5799999996</v>
      </c>
      <c r="E78" s="155">
        <v>284194.26</v>
      </c>
      <c r="F78" s="155">
        <f t="shared" si="74"/>
        <v>2992279.84</v>
      </c>
      <c r="G78" s="238">
        <v>415</v>
      </c>
      <c r="H78" s="239">
        <f t="shared" si="52"/>
        <v>7210.3128674698792</v>
      </c>
      <c r="I78" s="213">
        <f t="shared" si="53"/>
        <v>1.7137130193640461E-3</v>
      </c>
      <c r="J78" s="5">
        <f>Calculations!AS78</f>
        <v>3092041.7385807764</v>
      </c>
      <c r="K78" s="5">
        <f t="shared" si="54"/>
        <v>310325.06962422002</v>
      </c>
      <c r="L78" s="5">
        <f t="shared" si="55"/>
        <v>3402366.8082049964</v>
      </c>
      <c r="M78" s="146">
        <v>415</v>
      </c>
      <c r="N78" s="58">
        <f t="shared" si="56"/>
        <v>8198.4742366385453</v>
      </c>
      <c r="O78" s="36">
        <f t="shared" si="57"/>
        <v>1.8541392440405377E-3</v>
      </c>
      <c r="P78" s="211">
        <f>SUM(H78*'Front page'!$H$10)+H78</f>
        <v>7751.0863325301198</v>
      </c>
      <c r="Q78" s="211">
        <f t="shared" si="58"/>
        <v>3216700.8279999997</v>
      </c>
      <c r="R78" s="218"/>
      <c r="S78" s="5">
        <f t="shared" si="59"/>
        <v>410086.96820499655</v>
      </c>
      <c r="T78" s="5" t="str">
        <f t="shared" si="60"/>
        <v/>
      </c>
      <c r="U78" s="5">
        <f t="shared" si="61"/>
        <v>224420.9879999999</v>
      </c>
      <c r="V78" s="5">
        <f t="shared" si="62"/>
        <v>-185665.98020499665</v>
      </c>
      <c r="W78" s="55">
        <f t="shared" si="63"/>
        <v>0.13704833442482992</v>
      </c>
      <c r="X78" s="6">
        <f t="shared" si="64"/>
        <v>3216700.8279999997</v>
      </c>
      <c r="Y78" s="5">
        <f t="shared" si="65"/>
        <v>3216700.8279999997</v>
      </c>
      <c r="Z78" s="57">
        <f t="shared" si="66"/>
        <v>224420.9879999999</v>
      </c>
      <c r="AA78" s="5">
        <f t="shared" si="67"/>
        <v>-185665.98020499665</v>
      </c>
      <c r="AB78" s="58">
        <f>SUM(F78*'Front page'!$H$11)+F78</f>
        <v>3052125.4367999998</v>
      </c>
      <c r="AC78" s="58">
        <f t="shared" si="68"/>
        <v>3402366.8082049964</v>
      </c>
      <c r="AD78" s="58">
        <f t="shared" si="69"/>
        <v>3216700.8279999997</v>
      </c>
      <c r="AE78" s="58">
        <f t="shared" si="70"/>
        <v>410086.96820499655</v>
      </c>
      <c r="AF78" s="56">
        <f t="shared" si="71"/>
        <v>0.13704833442482992</v>
      </c>
      <c r="AG78" s="58">
        <f t="shared" si="72"/>
        <v>224420.9879999999</v>
      </c>
      <c r="AH78" s="56">
        <f t="shared" si="73"/>
        <v>7.4999999999999969E-2</v>
      </c>
    </row>
    <row r="79" spans="1:34">
      <c r="A79" t="str">
        <f t="shared" si="50"/>
        <v>305</v>
      </c>
      <c r="B79">
        <f t="shared" si="51"/>
        <v>305</v>
      </c>
      <c r="C79" s="15" t="s">
        <v>88</v>
      </c>
      <c r="D79" s="155">
        <v>1580739.9899999998</v>
      </c>
      <c r="E79" s="155">
        <v>264624</v>
      </c>
      <c r="F79" s="155">
        <f t="shared" si="74"/>
        <v>1845363.9899999998</v>
      </c>
      <c r="G79" s="238">
        <v>168</v>
      </c>
      <c r="H79" s="239">
        <f t="shared" si="52"/>
        <v>10984.309464285712</v>
      </c>
      <c r="I79" s="213">
        <f t="shared" si="53"/>
        <v>1.0568611440862374E-3</v>
      </c>
      <c r="J79" s="5">
        <f>Calculations!AS79</f>
        <v>1525069.3971914728</v>
      </c>
      <c r="K79" s="5">
        <f t="shared" si="54"/>
        <v>288955.38292800001</v>
      </c>
      <c r="L79" s="5">
        <f t="shared" si="55"/>
        <v>1814024.7801194729</v>
      </c>
      <c r="M79" s="146">
        <v>168</v>
      </c>
      <c r="N79" s="58">
        <f t="shared" si="56"/>
        <v>10797.766548330195</v>
      </c>
      <c r="O79" s="36">
        <f t="shared" si="57"/>
        <v>9.885631750140417E-4</v>
      </c>
      <c r="P79" s="211">
        <f>SUM(H79*'Front page'!$H$10)+H79</f>
        <v>11808.132674107141</v>
      </c>
      <c r="Q79" s="211">
        <f t="shared" si="58"/>
        <v>1814024.7801194729</v>
      </c>
      <c r="R79" s="218"/>
      <c r="S79" s="5">
        <f t="shared" si="59"/>
        <v>-31339.209880526876</v>
      </c>
      <c r="T79" s="5">
        <f t="shared" si="60"/>
        <v>-31339.209880526876</v>
      </c>
      <c r="U79" s="5">
        <f t="shared" si="61"/>
        <v>-31339.209880526876</v>
      </c>
      <c r="V79" s="5">
        <f t="shared" si="62"/>
        <v>0</v>
      </c>
      <c r="W79" s="55">
        <f t="shared" si="63"/>
        <v>-1.6982671196768547E-2</v>
      </c>
      <c r="X79" s="6">
        <f t="shared" si="64"/>
        <v>1983766.2892499997</v>
      </c>
      <c r="Y79" s="5">
        <f t="shared" si="65"/>
        <v>1814024.7801194729</v>
      </c>
      <c r="Z79" s="57">
        <f t="shared" si="66"/>
        <v>-31339.209880526876</v>
      </c>
      <c r="AA79" s="5">
        <f t="shared" si="67"/>
        <v>0</v>
      </c>
      <c r="AB79" s="58">
        <f>SUM(F79*'Front page'!$H$11)+F79</f>
        <v>1882271.2697999997</v>
      </c>
      <c r="AC79" s="58">
        <f t="shared" si="68"/>
        <v>1882271.2697999997</v>
      </c>
      <c r="AD79" s="58">
        <f t="shared" si="69"/>
        <v>1882271.2697999997</v>
      </c>
      <c r="AE79" s="58">
        <f t="shared" si="70"/>
        <v>36907.279799999902</v>
      </c>
      <c r="AF79" s="56">
        <f t="shared" si="71"/>
        <v>1.9999999999999948E-2</v>
      </c>
      <c r="AG79" s="58">
        <f t="shared" si="72"/>
        <v>36907.279799999902</v>
      </c>
      <c r="AH79" s="56">
        <f t="shared" si="73"/>
        <v>1.9999999999999948E-2</v>
      </c>
    </row>
    <row r="80" spans="1:34">
      <c r="A80" t="str">
        <f t="shared" si="50"/>
        <v>312</v>
      </c>
      <c r="B80">
        <f t="shared" si="51"/>
        <v>312</v>
      </c>
      <c r="C80" s="15" t="s">
        <v>89</v>
      </c>
      <c r="D80" s="155">
        <v>3331373.49</v>
      </c>
      <c r="E80" s="155">
        <v>301065.34999999998</v>
      </c>
      <c r="F80" s="155">
        <f t="shared" si="74"/>
        <v>3632438.8400000003</v>
      </c>
      <c r="G80" s="238">
        <v>500</v>
      </c>
      <c r="H80" s="239">
        <f t="shared" si="52"/>
        <v>7264.8776800000005</v>
      </c>
      <c r="I80" s="213">
        <f t="shared" si="53"/>
        <v>2.0803394284645634E-3</v>
      </c>
      <c r="J80" s="5">
        <f>Calculations!AS80</f>
        <v>3479353.6445081681</v>
      </c>
      <c r="K80" s="5">
        <f t="shared" si="54"/>
        <v>328747.40573644999</v>
      </c>
      <c r="L80" s="5">
        <f t="shared" si="55"/>
        <v>3808101.0502446182</v>
      </c>
      <c r="M80" s="146">
        <v>500</v>
      </c>
      <c r="N80" s="58">
        <f t="shared" si="56"/>
        <v>7616.2021004892367</v>
      </c>
      <c r="O80" s="36">
        <f t="shared" si="57"/>
        <v>2.0752464388916398E-3</v>
      </c>
      <c r="P80" s="211">
        <f>SUM(H80*'Front page'!$H$10)+H80</f>
        <v>7809.7435060000007</v>
      </c>
      <c r="Q80" s="211">
        <f t="shared" si="58"/>
        <v>3808101.0502446182</v>
      </c>
      <c r="R80" s="218"/>
      <c r="S80" s="5">
        <f t="shared" si="59"/>
        <v>175662.21024461789</v>
      </c>
      <c r="T80" s="5" t="str">
        <f t="shared" si="60"/>
        <v/>
      </c>
      <c r="U80" s="5">
        <f t="shared" si="61"/>
        <v>175662.21024461789</v>
      </c>
      <c r="V80" s="5">
        <f t="shared" si="62"/>
        <v>0</v>
      </c>
      <c r="W80" s="55">
        <f t="shared" si="63"/>
        <v>4.8359302931750912E-2</v>
      </c>
      <c r="X80" s="6">
        <f t="shared" si="64"/>
        <v>3904871.7530000005</v>
      </c>
      <c r="Y80" s="5">
        <f t="shared" si="65"/>
        <v>3808101.0502446182</v>
      </c>
      <c r="Z80" s="57">
        <f t="shared" si="66"/>
        <v>175662.21024461789</v>
      </c>
      <c r="AA80" s="5">
        <f t="shared" si="67"/>
        <v>0</v>
      </c>
      <c r="AB80" s="58">
        <f>SUM(F80*'Front page'!$H$11)+F80</f>
        <v>3705087.6168000004</v>
      </c>
      <c r="AC80" s="58">
        <f t="shared" si="68"/>
        <v>3808101.0502446182</v>
      </c>
      <c r="AD80" s="58">
        <f t="shared" si="69"/>
        <v>3808101.0502446182</v>
      </c>
      <c r="AE80" s="58">
        <f t="shared" si="70"/>
        <v>175662.21024461789</v>
      </c>
      <c r="AF80" s="56">
        <f t="shared" si="71"/>
        <v>4.8359302931750912E-2</v>
      </c>
      <c r="AG80" s="58">
        <f t="shared" si="72"/>
        <v>175662.21024461789</v>
      </c>
      <c r="AH80" s="56">
        <f t="shared" si="73"/>
        <v>4.8359302931750912E-2</v>
      </c>
    </row>
    <row r="81" spans="1:34">
      <c r="A81" t="str">
        <f t="shared" si="50"/>
        <v>314</v>
      </c>
      <c r="B81">
        <f t="shared" si="51"/>
        <v>314</v>
      </c>
      <c r="C81" s="15" t="s">
        <v>90</v>
      </c>
      <c r="D81" s="155">
        <v>1715320.94</v>
      </c>
      <c r="E81" s="155">
        <v>322835.98</v>
      </c>
      <c r="F81" s="155">
        <f t="shared" si="74"/>
        <v>2038156.92</v>
      </c>
      <c r="G81" s="238">
        <v>200</v>
      </c>
      <c r="H81" s="239">
        <f t="shared" si="52"/>
        <v>10190.784599999999</v>
      </c>
      <c r="I81" s="213">
        <f t="shared" si="53"/>
        <v>1.1672758685935354E-3</v>
      </c>
      <c r="J81" s="5">
        <f>Calculations!AS81</f>
        <v>1787322.6594453761</v>
      </c>
      <c r="K81" s="5">
        <f t="shared" si="54"/>
        <v>352519.77985305997</v>
      </c>
      <c r="L81" s="5">
        <f t="shared" si="55"/>
        <v>2139842.439298436</v>
      </c>
      <c r="M81" s="146">
        <v>200</v>
      </c>
      <c r="N81" s="58">
        <f t="shared" si="56"/>
        <v>10699.212196492181</v>
      </c>
      <c r="O81" s="36">
        <f t="shared" si="57"/>
        <v>1.166119371138543E-3</v>
      </c>
      <c r="P81" s="211">
        <f>SUM(H81*'Front page'!$H$10)+H81</f>
        <v>10955.093444999999</v>
      </c>
      <c r="Q81" s="211">
        <f t="shared" si="58"/>
        <v>2139842.439298436</v>
      </c>
      <c r="R81" s="218"/>
      <c r="S81" s="5">
        <f t="shared" si="59"/>
        <v>101685.51929843612</v>
      </c>
      <c r="T81" s="5" t="str">
        <f t="shared" si="60"/>
        <v/>
      </c>
      <c r="U81" s="5">
        <f t="shared" si="61"/>
        <v>101685.51929843612</v>
      </c>
      <c r="V81" s="5">
        <f t="shared" si="62"/>
        <v>0</v>
      </c>
      <c r="W81" s="55">
        <f t="shared" si="63"/>
        <v>4.9890917770176464E-2</v>
      </c>
      <c r="X81" s="6">
        <f t="shared" si="64"/>
        <v>2191018.6889999998</v>
      </c>
      <c r="Y81" s="5">
        <f t="shared" si="65"/>
        <v>2139842.439298436</v>
      </c>
      <c r="Z81" s="57">
        <f t="shared" si="66"/>
        <v>101685.51929843612</v>
      </c>
      <c r="AA81" s="5">
        <f t="shared" si="67"/>
        <v>0</v>
      </c>
      <c r="AB81" s="58">
        <f>SUM(F81*'Front page'!$H$11)+F81</f>
        <v>2078920.0584</v>
      </c>
      <c r="AC81" s="58">
        <f t="shared" si="68"/>
        <v>2139842.439298436</v>
      </c>
      <c r="AD81" s="58">
        <f t="shared" si="69"/>
        <v>2139842.439298436</v>
      </c>
      <c r="AE81" s="58">
        <f t="shared" si="70"/>
        <v>101685.51929843612</v>
      </c>
      <c r="AF81" s="56">
        <f t="shared" si="71"/>
        <v>4.9890917770176464E-2</v>
      </c>
      <c r="AG81" s="58">
        <f t="shared" si="72"/>
        <v>101685.51929843612</v>
      </c>
      <c r="AH81" s="56">
        <f t="shared" si="73"/>
        <v>4.9890917770176464E-2</v>
      </c>
    </row>
    <row r="82" spans="1:34">
      <c r="A82" t="str">
        <f t="shared" si="50"/>
        <v>316</v>
      </c>
      <c r="B82">
        <f t="shared" si="51"/>
        <v>316</v>
      </c>
      <c r="C82" s="15" t="s">
        <v>91</v>
      </c>
      <c r="D82" s="155">
        <v>1627561.3599999999</v>
      </c>
      <c r="E82" s="155">
        <v>144430</v>
      </c>
      <c r="F82" s="155">
        <f t="shared" si="74"/>
        <v>1771991.3599999999</v>
      </c>
      <c r="G82" s="238">
        <v>181.5</v>
      </c>
      <c r="H82" s="239">
        <f t="shared" si="52"/>
        <v>9763.0377961432496</v>
      </c>
      <c r="I82" s="213">
        <f t="shared" si="53"/>
        <v>1.0148397964785949E-3</v>
      </c>
      <c r="J82" s="5">
        <f>Calculations!AS82</f>
        <v>1730649.8059379819</v>
      </c>
      <c r="K82" s="5">
        <f t="shared" si="54"/>
        <v>157709.90521</v>
      </c>
      <c r="L82" s="5">
        <f t="shared" si="55"/>
        <v>1888359.7111479819</v>
      </c>
      <c r="M82" s="146">
        <v>181.5</v>
      </c>
      <c r="N82" s="58">
        <f t="shared" si="56"/>
        <v>10404.185736352518</v>
      </c>
      <c r="O82" s="36">
        <f t="shared" si="57"/>
        <v>1.0290724206634605E-3</v>
      </c>
      <c r="P82" s="211">
        <f>SUM(H82*'Front page'!$H$10)+H82</f>
        <v>10495.265630853994</v>
      </c>
      <c r="Q82" s="211">
        <f t="shared" si="58"/>
        <v>1888359.7111479819</v>
      </c>
      <c r="R82" s="218"/>
      <c r="S82" s="5">
        <f t="shared" si="59"/>
        <v>116368.35114798206</v>
      </c>
      <c r="T82" s="5" t="str">
        <f t="shared" si="60"/>
        <v/>
      </c>
      <c r="U82" s="5">
        <f t="shared" si="61"/>
        <v>116368.35114798206</v>
      </c>
      <c r="V82" s="5">
        <f t="shared" si="62"/>
        <v>0</v>
      </c>
      <c r="W82" s="55">
        <f t="shared" si="63"/>
        <v>6.5670947260139043E-2</v>
      </c>
      <c r="X82" s="6">
        <f t="shared" si="64"/>
        <v>1904890.7119999998</v>
      </c>
      <c r="Y82" s="5">
        <f t="shared" si="65"/>
        <v>1888359.7111479819</v>
      </c>
      <c r="Z82" s="57">
        <f t="shared" si="66"/>
        <v>116368.35114798206</v>
      </c>
      <c r="AA82" s="5">
        <f t="shared" si="67"/>
        <v>0</v>
      </c>
      <c r="AB82" s="58">
        <f>SUM(F82*'Front page'!$H$11)+F82</f>
        <v>1807431.1871999998</v>
      </c>
      <c r="AC82" s="58">
        <f t="shared" si="68"/>
        <v>1888359.7111479819</v>
      </c>
      <c r="AD82" s="58">
        <f t="shared" si="69"/>
        <v>1888359.7111479819</v>
      </c>
      <c r="AE82" s="58">
        <f t="shared" si="70"/>
        <v>116368.35114798206</v>
      </c>
      <c r="AF82" s="56">
        <f t="shared" si="71"/>
        <v>6.5670947260139043E-2</v>
      </c>
      <c r="AG82" s="58">
        <f t="shared" si="72"/>
        <v>116368.35114798206</v>
      </c>
      <c r="AH82" s="56">
        <f t="shared" si="73"/>
        <v>6.5670947260139043E-2</v>
      </c>
    </row>
    <row r="83" spans="1:34">
      <c r="A83" t="str">
        <f t="shared" si="50"/>
        <v>321</v>
      </c>
      <c r="B83">
        <f t="shared" si="51"/>
        <v>321</v>
      </c>
      <c r="C83" s="15" t="s">
        <v>92</v>
      </c>
      <c r="D83" s="155">
        <v>25343757.650000002</v>
      </c>
      <c r="E83" s="155">
        <v>3064941.15</v>
      </c>
      <c r="F83" s="155">
        <f t="shared" si="74"/>
        <v>28408698.800000001</v>
      </c>
      <c r="G83" s="238">
        <v>5021</v>
      </c>
      <c r="H83" s="239">
        <f t="shared" si="52"/>
        <v>5657.9762597092213</v>
      </c>
      <c r="I83" s="213">
        <f t="shared" si="53"/>
        <v>1.6269987969023566E-2</v>
      </c>
      <c r="J83" s="5">
        <f>Calculations!AS83</f>
        <v>27123972.885441083</v>
      </c>
      <c r="K83" s="5">
        <f t="shared" si="54"/>
        <v>3346753.2939190497</v>
      </c>
      <c r="L83" s="5">
        <f t="shared" si="55"/>
        <v>30470726.179360133</v>
      </c>
      <c r="M83" s="146">
        <v>5021</v>
      </c>
      <c r="N83" s="58">
        <f t="shared" si="56"/>
        <v>6068.6568769886744</v>
      </c>
      <c r="O83" s="36">
        <f t="shared" si="57"/>
        <v>1.6605196437761923E-2</v>
      </c>
      <c r="P83" s="211">
        <f>SUM(H83*'Front page'!$H$10)+H83</f>
        <v>6082.3244791874131</v>
      </c>
      <c r="Q83" s="211">
        <f t="shared" si="58"/>
        <v>30470726.179360133</v>
      </c>
      <c r="R83" s="218"/>
      <c r="S83" s="5">
        <f t="shared" si="59"/>
        <v>2062027.3793601319</v>
      </c>
      <c r="T83" s="5" t="str">
        <f t="shared" si="60"/>
        <v/>
      </c>
      <c r="U83" s="5">
        <f t="shared" si="61"/>
        <v>2062027.3793601319</v>
      </c>
      <c r="V83" s="5">
        <f t="shared" si="62"/>
        <v>0</v>
      </c>
      <c r="W83" s="55">
        <f t="shared" si="63"/>
        <v>7.2584365580310631E-2</v>
      </c>
      <c r="X83" s="6">
        <f t="shared" si="64"/>
        <v>30539351.210000001</v>
      </c>
      <c r="Y83" s="5">
        <f t="shared" si="65"/>
        <v>30470726.179360133</v>
      </c>
      <c r="Z83" s="57">
        <f t="shared" si="66"/>
        <v>2062027.3793601319</v>
      </c>
      <c r="AA83" s="5">
        <f t="shared" si="67"/>
        <v>0</v>
      </c>
      <c r="AB83" s="58">
        <f>SUM(F83*'Front page'!$H$11)+F83</f>
        <v>28976872.776000001</v>
      </c>
      <c r="AC83" s="58">
        <f t="shared" si="68"/>
        <v>30470726.179360133</v>
      </c>
      <c r="AD83" s="58">
        <f t="shared" si="69"/>
        <v>30470726.179360133</v>
      </c>
      <c r="AE83" s="58">
        <f t="shared" si="70"/>
        <v>2062027.3793601319</v>
      </c>
      <c r="AF83" s="56">
        <f t="shared" si="71"/>
        <v>7.2584365580310631E-2</v>
      </c>
      <c r="AG83" s="58">
        <f t="shared" si="72"/>
        <v>2062027.3793601319</v>
      </c>
      <c r="AH83" s="56">
        <f t="shared" si="73"/>
        <v>7.2584365580310631E-2</v>
      </c>
    </row>
    <row r="84" spans="1:34">
      <c r="A84" t="str">
        <f t="shared" si="50"/>
        <v>322</v>
      </c>
      <c r="B84">
        <f t="shared" si="51"/>
        <v>322</v>
      </c>
      <c r="C84" s="15" t="s">
        <v>93</v>
      </c>
      <c r="D84" s="155">
        <v>8637643.1600000001</v>
      </c>
      <c r="E84" s="155">
        <v>1037837.63</v>
      </c>
      <c r="F84" s="155">
        <f t="shared" si="74"/>
        <v>9675480.790000001</v>
      </c>
      <c r="G84" s="238">
        <v>1571.5</v>
      </c>
      <c r="H84" s="239">
        <f t="shared" si="52"/>
        <v>6156.8442825326129</v>
      </c>
      <c r="I84" s="213">
        <f t="shared" si="53"/>
        <v>5.5412589346689346E-3</v>
      </c>
      <c r="J84" s="5">
        <f>Calculations!AS84</f>
        <v>8399420.3890064638</v>
      </c>
      <c r="K84" s="5">
        <f t="shared" si="54"/>
        <v>1133263.6865656101</v>
      </c>
      <c r="L84" s="5">
        <f t="shared" si="55"/>
        <v>9532684.0755720735</v>
      </c>
      <c r="M84" s="146">
        <v>1571.5</v>
      </c>
      <c r="N84" s="58">
        <f t="shared" si="56"/>
        <v>6065.9777763742113</v>
      </c>
      <c r="O84" s="36">
        <f t="shared" si="57"/>
        <v>5.1948906869578012E-3</v>
      </c>
      <c r="P84" s="211">
        <f>SUM(H84*'Front page'!$H$10)+H84</f>
        <v>6618.6076037225585</v>
      </c>
      <c r="Q84" s="211">
        <f t="shared" si="58"/>
        <v>9532684.0755720735</v>
      </c>
      <c r="R84" s="218"/>
      <c r="S84" s="5">
        <f t="shared" si="59"/>
        <v>-142796.71442792751</v>
      </c>
      <c r="T84" s="5">
        <f t="shared" si="60"/>
        <v>-142796.71442792751</v>
      </c>
      <c r="U84" s="5">
        <f t="shared" si="61"/>
        <v>-142796.71442792751</v>
      </c>
      <c r="V84" s="5">
        <f t="shared" si="62"/>
        <v>0</v>
      </c>
      <c r="W84" s="55">
        <f t="shared" si="63"/>
        <v>-1.4758616912920096E-2</v>
      </c>
      <c r="X84" s="6">
        <f t="shared" si="64"/>
        <v>10401141.849250002</v>
      </c>
      <c r="Y84" s="5">
        <f t="shared" si="65"/>
        <v>9532684.0755720735</v>
      </c>
      <c r="Z84" s="57">
        <f t="shared" si="66"/>
        <v>-142796.71442792751</v>
      </c>
      <c r="AA84" s="5">
        <f t="shared" si="67"/>
        <v>0</v>
      </c>
      <c r="AB84" s="58">
        <f>SUM(F84*'Front page'!$H$11)+F84</f>
        <v>9868990.4058000017</v>
      </c>
      <c r="AC84" s="58">
        <f t="shared" si="68"/>
        <v>9868990.4058000017</v>
      </c>
      <c r="AD84" s="58">
        <f t="shared" si="69"/>
        <v>9868990.4058000017</v>
      </c>
      <c r="AE84" s="58">
        <f t="shared" si="70"/>
        <v>193509.61580000073</v>
      </c>
      <c r="AF84" s="56">
        <f t="shared" si="71"/>
        <v>2.0000000000000073E-2</v>
      </c>
      <c r="AG84" s="58">
        <f t="shared" si="72"/>
        <v>193509.61580000073</v>
      </c>
      <c r="AH84" s="56">
        <f t="shared" si="73"/>
        <v>2.0000000000000073E-2</v>
      </c>
    </row>
    <row r="85" spans="1:34">
      <c r="A85" t="str">
        <f t="shared" si="50"/>
        <v>331</v>
      </c>
      <c r="B85">
        <f t="shared" si="51"/>
        <v>331</v>
      </c>
      <c r="C85" s="15" t="s">
        <v>94</v>
      </c>
      <c r="D85" s="155">
        <v>21079759.91</v>
      </c>
      <c r="E85" s="155">
        <v>2771395.7800000003</v>
      </c>
      <c r="F85" s="155">
        <f t="shared" si="74"/>
        <v>23851155.690000001</v>
      </c>
      <c r="G85" s="238">
        <v>3993</v>
      </c>
      <c r="H85" s="239">
        <f t="shared" si="52"/>
        <v>5973.2420961682947</v>
      </c>
      <c r="I85" s="213">
        <f t="shared" si="53"/>
        <v>1.3659830703812735E-2</v>
      </c>
      <c r="J85" s="5">
        <f>Calculations!AS85</f>
        <v>22627542.360548474</v>
      </c>
      <c r="K85" s="5">
        <f t="shared" si="54"/>
        <v>3026217.3077836605</v>
      </c>
      <c r="L85" s="5">
        <f t="shared" si="55"/>
        <v>25653759.668332133</v>
      </c>
      <c r="M85" s="146">
        <v>3993</v>
      </c>
      <c r="N85" s="58">
        <f t="shared" si="56"/>
        <v>6424.6831125299605</v>
      </c>
      <c r="O85" s="36">
        <f t="shared" si="57"/>
        <v>1.39801629981611E-2</v>
      </c>
      <c r="P85" s="211">
        <f>SUM(H85*'Front page'!$H$10)+H85</f>
        <v>6421.2352533809171</v>
      </c>
      <c r="Q85" s="211">
        <f t="shared" si="58"/>
        <v>25639992.366750002</v>
      </c>
      <c r="R85" s="218"/>
      <c r="S85" s="5">
        <f t="shared" si="59"/>
        <v>1802603.9783321321</v>
      </c>
      <c r="T85" s="5" t="str">
        <f t="shared" si="60"/>
        <v/>
      </c>
      <c r="U85" s="5">
        <f t="shared" si="61"/>
        <v>1788836.6767500006</v>
      </c>
      <c r="V85" s="5">
        <f t="shared" si="62"/>
        <v>-13767.301582131535</v>
      </c>
      <c r="W85" s="55">
        <f t="shared" si="63"/>
        <v>7.5577217379361794E-2</v>
      </c>
      <c r="X85" s="6">
        <f t="shared" si="64"/>
        <v>25639992.366750002</v>
      </c>
      <c r="Y85" s="5">
        <f t="shared" si="65"/>
        <v>25639992.366750002</v>
      </c>
      <c r="Z85" s="57">
        <f t="shared" si="66"/>
        <v>1788836.6767500006</v>
      </c>
      <c r="AA85" s="5">
        <f t="shared" si="67"/>
        <v>-13767.301582131535</v>
      </c>
      <c r="AB85" s="58">
        <f>SUM(F85*'Front page'!$H$11)+F85</f>
        <v>24328178.803800002</v>
      </c>
      <c r="AC85" s="58">
        <f t="shared" si="68"/>
        <v>25653759.668332133</v>
      </c>
      <c r="AD85" s="58">
        <f t="shared" si="69"/>
        <v>25639992.366750002</v>
      </c>
      <c r="AE85" s="58">
        <f t="shared" si="70"/>
        <v>1802603.9783321321</v>
      </c>
      <c r="AF85" s="56">
        <f t="shared" si="71"/>
        <v>7.5577217379361794E-2</v>
      </c>
      <c r="AG85" s="58">
        <f t="shared" si="72"/>
        <v>1788836.6767500006</v>
      </c>
      <c r="AH85" s="56">
        <f t="shared" si="73"/>
        <v>7.5000000000000025E-2</v>
      </c>
    </row>
    <row r="86" spans="1:34">
      <c r="A86" t="str">
        <f t="shared" si="50"/>
        <v>340</v>
      </c>
      <c r="B86">
        <f t="shared" si="51"/>
        <v>340</v>
      </c>
      <c r="C86" s="15" t="s">
        <v>95</v>
      </c>
      <c r="D86" s="155">
        <v>23480938.120000001</v>
      </c>
      <c r="E86" s="155">
        <v>2088489.71</v>
      </c>
      <c r="F86" s="155">
        <f t="shared" si="74"/>
        <v>25569427.830000002</v>
      </c>
      <c r="G86" s="238">
        <v>4503</v>
      </c>
      <c r="H86" s="239">
        <f t="shared" si="52"/>
        <v>5678.3095336442375</v>
      </c>
      <c r="I86" s="213">
        <f t="shared" si="53"/>
        <v>1.4643904886235633E-2</v>
      </c>
      <c r="J86" s="5">
        <f>Calculations!AS86</f>
        <v>22967399.138119783</v>
      </c>
      <c r="K86" s="5">
        <f t="shared" si="54"/>
        <v>2280520.0733653698</v>
      </c>
      <c r="L86" s="5">
        <f t="shared" si="55"/>
        <v>25247919.211485155</v>
      </c>
      <c r="M86" s="146">
        <v>4503</v>
      </c>
      <c r="N86" s="58">
        <f t="shared" si="56"/>
        <v>5606.9107731479362</v>
      </c>
      <c r="O86" s="36">
        <f t="shared" si="57"/>
        <v>1.3758997920943481E-2</v>
      </c>
      <c r="P86" s="211">
        <f>SUM(H86*'Front page'!$H$10)+H86</f>
        <v>6104.1827486675556</v>
      </c>
      <c r="Q86" s="211">
        <f t="shared" si="58"/>
        <v>25247919.211485155</v>
      </c>
      <c r="R86" s="218"/>
      <c r="S86" s="5">
        <f t="shared" si="59"/>
        <v>-321508.61851484701</v>
      </c>
      <c r="T86" s="5">
        <f t="shared" si="60"/>
        <v>-321508.61851484701</v>
      </c>
      <c r="U86" s="5">
        <f t="shared" si="61"/>
        <v>-321508.61851484701</v>
      </c>
      <c r="V86" s="5">
        <f t="shared" si="62"/>
        <v>0</v>
      </c>
      <c r="W86" s="55">
        <f t="shared" si="63"/>
        <v>-1.2573946536950998E-2</v>
      </c>
      <c r="X86" s="6">
        <f t="shared" si="64"/>
        <v>27487134.917250004</v>
      </c>
      <c r="Y86" s="5">
        <f t="shared" si="65"/>
        <v>25247919.211485155</v>
      </c>
      <c r="Z86" s="57">
        <f t="shared" si="66"/>
        <v>-321508.61851484701</v>
      </c>
      <c r="AA86" s="5">
        <f t="shared" si="67"/>
        <v>0</v>
      </c>
      <c r="AB86" s="58">
        <f>SUM(F86*'Front page'!$H$11)+F86</f>
        <v>26080816.386600003</v>
      </c>
      <c r="AC86" s="58">
        <f t="shared" si="68"/>
        <v>26080816.386600003</v>
      </c>
      <c r="AD86" s="58">
        <f t="shared" si="69"/>
        <v>26080816.386600003</v>
      </c>
      <c r="AE86" s="58">
        <f t="shared" si="70"/>
        <v>511388.55660000071</v>
      </c>
      <c r="AF86" s="56">
        <f t="shared" si="71"/>
        <v>2.0000000000000025E-2</v>
      </c>
      <c r="AG86" s="58">
        <f t="shared" si="72"/>
        <v>511388.55660000071</v>
      </c>
      <c r="AH86" s="56">
        <f t="shared" si="73"/>
        <v>2.0000000000000025E-2</v>
      </c>
    </row>
    <row r="87" spans="1:34">
      <c r="A87" t="str">
        <f t="shared" si="50"/>
        <v>341</v>
      </c>
      <c r="B87">
        <f t="shared" si="51"/>
        <v>341</v>
      </c>
      <c r="C87" s="15" t="s">
        <v>96</v>
      </c>
      <c r="D87" s="155">
        <v>2976903.4</v>
      </c>
      <c r="E87" s="155">
        <v>416509.65</v>
      </c>
      <c r="F87" s="155">
        <f t="shared" si="74"/>
        <v>3393413.05</v>
      </c>
      <c r="G87" s="238">
        <v>467.5</v>
      </c>
      <c r="H87" s="239">
        <f t="shared" si="52"/>
        <v>7258.6375401069517</v>
      </c>
      <c r="I87" s="213">
        <f t="shared" si="53"/>
        <v>1.9434466142260469E-3</v>
      </c>
      <c r="J87" s="5">
        <f>Calculations!AS87</f>
        <v>3542601.8726044525</v>
      </c>
      <c r="K87" s="5">
        <f t="shared" si="54"/>
        <v>454806.46278855001</v>
      </c>
      <c r="L87" s="5">
        <f t="shared" si="55"/>
        <v>3997408.3353930027</v>
      </c>
      <c r="M87" s="146">
        <v>467.5</v>
      </c>
      <c r="N87" s="58">
        <f t="shared" si="56"/>
        <v>8550.6060650117706</v>
      </c>
      <c r="O87" s="36">
        <f t="shared" si="57"/>
        <v>2.1784105262351713E-3</v>
      </c>
      <c r="P87" s="211">
        <f>SUM(H87*'Front page'!$H$10)+H87</f>
        <v>7803.035355614973</v>
      </c>
      <c r="Q87" s="211">
        <f t="shared" si="58"/>
        <v>3647919.0287500001</v>
      </c>
      <c r="R87" s="218"/>
      <c r="S87" s="5">
        <f t="shared" si="59"/>
        <v>603995.28539300291</v>
      </c>
      <c r="T87" s="5" t="str">
        <f t="shared" si="60"/>
        <v/>
      </c>
      <c r="U87" s="5">
        <f t="shared" si="61"/>
        <v>254505.97875000024</v>
      </c>
      <c r="V87" s="5">
        <f t="shared" si="62"/>
        <v>-349489.30664300267</v>
      </c>
      <c r="W87" s="55">
        <f t="shared" si="63"/>
        <v>0.17799049997553434</v>
      </c>
      <c r="X87" s="6">
        <f t="shared" si="64"/>
        <v>3647919.0287499996</v>
      </c>
      <c r="Y87" s="5">
        <f t="shared" si="65"/>
        <v>3647919.0287499996</v>
      </c>
      <c r="Z87" s="57">
        <f t="shared" si="66"/>
        <v>254505.97874999978</v>
      </c>
      <c r="AA87" s="5">
        <f t="shared" si="67"/>
        <v>-349489.30664300313</v>
      </c>
      <c r="AB87" s="58">
        <f>SUM(F87*'Front page'!$H$11)+F87</f>
        <v>3461281.3109999998</v>
      </c>
      <c r="AC87" s="58">
        <f t="shared" si="68"/>
        <v>3997408.3353930027</v>
      </c>
      <c r="AD87" s="58">
        <f t="shared" si="69"/>
        <v>3647919.0287500001</v>
      </c>
      <c r="AE87" s="58">
        <f t="shared" si="70"/>
        <v>603995.28539300291</v>
      </c>
      <c r="AF87" s="56">
        <f t="shared" si="71"/>
        <v>0.17799049997553434</v>
      </c>
      <c r="AG87" s="58">
        <f t="shared" si="72"/>
        <v>254505.97875000024</v>
      </c>
      <c r="AH87" s="56">
        <f t="shared" si="73"/>
        <v>7.500000000000008E-2</v>
      </c>
    </row>
    <row r="88" spans="1:34">
      <c r="A88" t="str">
        <f t="shared" si="50"/>
        <v>342</v>
      </c>
      <c r="B88">
        <f t="shared" si="51"/>
        <v>342</v>
      </c>
      <c r="C88" s="15" t="s">
        <v>97</v>
      </c>
      <c r="D88" s="155">
        <v>1280405.07</v>
      </c>
      <c r="E88" s="155">
        <v>122720.94</v>
      </c>
      <c r="F88" s="155">
        <f t="shared" si="74"/>
        <v>1403126.01</v>
      </c>
      <c r="G88" s="238">
        <v>92</v>
      </c>
      <c r="H88" s="239">
        <f t="shared" si="52"/>
        <v>15251.369673913043</v>
      </c>
      <c r="I88" s="213">
        <f t="shared" si="53"/>
        <v>8.0358637551270178E-4</v>
      </c>
      <c r="J88" s="5">
        <f>Calculations!AS88</f>
        <v>1225604.4268234922</v>
      </c>
      <c r="K88" s="5">
        <f t="shared" si="54"/>
        <v>134004.76227018001</v>
      </c>
      <c r="L88" s="5">
        <f t="shared" si="55"/>
        <v>1359609.1890936722</v>
      </c>
      <c r="M88" s="146">
        <v>92</v>
      </c>
      <c r="N88" s="58">
        <f t="shared" si="56"/>
        <v>14778.360751018176</v>
      </c>
      <c r="O88" s="36">
        <f t="shared" si="57"/>
        <v>7.409268007133764E-4</v>
      </c>
      <c r="P88" s="211">
        <f>SUM(H88*'Front page'!$H$10)+H88</f>
        <v>16395.222399456521</v>
      </c>
      <c r="Q88" s="211">
        <f t="shared" si="58"/>
        <v>1359609.1890936722</v>
      </c>
      <c r="R88" s="218"/>
      <c r="S88" s="5">
        <f t="shared" si="59"/>
        <v>-43516.820906327805</v>
      </c>
      <c r="T88" s="5">
        <f t="shared" si="60"/>
        <v>-43516.820906327805</v>
      </c>
      <c r="U88" s="5">
        <f t="shared" si="61"/>
        <v>-43516.820906327805</v>
      </c>
      <c r="V88" s="5">
        <f t="shared" si="62"/>
        <v>0</v>
      </c>
      <c r="W88" s="55">
        <f t="shared" si="63"/>
        <v>-3.1014193020573972E-2</v>
      </c>
      <c r="X88" s="6">
        <f t="shared" si="64"/>
        <v>1508360.4607500001</v>
      </c>
      <c r="Y88" s="5">
        <f t="shared" si="65"/>
        <v>1359609.1890936722</v>
      </c>
      <c r="Z88" s="57">
        <f t="shared" si="66"/>
        <v>-43516.820906327805</v>
      </c>
      <c r="AA88" s="5">
        <f t="shared" si="67"/>
        <v>0</v>
      </c>
      <c r="AB88" s="58">
        <f>SUM(F88*'Front page'!$H$11)+F88</f>
        <v>1431188.5301999999</v>
      </c>
      <c r="AC88" s="58">
        <f t="shared" si="68"/>
        <v>1431188.5301999999</v>
      </c>
      <c r="AD88" s="58">
        <f t="shared" si="69"/>
        <v>1431188.5301999999</v>
      </c>
      <c r="AE88" s="58">
        <f t="shared" si="70"/>
        <v>28062.520199999912</v>
      </c>
      <c r="AF88" s="56">
        <f t="shared" si="71"/>
        <v>1.9999999999999938E-2</v>
      </c>
      <c r="AG88" s="58">
        <f t="shared" si="72"/>
        <v>28062.520199999912</v>
      </c>
      <c r="AH88" s="56">
        <f t="shared" si="73"/>
        <v>1.9999999999999938E-2</v>
      </c>
    </row>
    <row r="89" spans="1:34">
      <c r="A89" t="str">
        <f t="shared" si="50"/>
        <v>351</v>
      </c>
      <c r="B89">
        <f t="shared" si="51"/>
        <v>351</v>
      </c>
      <c r="C89" s="15" t="s">
        <v>98</v>
      </c>
      <c r="D89" s="155">
        <v>7093789.54</v>
      </c>
      <c r="E89" s="155">
        <v>572262.24999999988</v>
      </c>
      <c r="F89" s="155">
        <f t="shared" si="74"/>
        <v>7666051.79</v>
      </c>
      <c r="G89" s="238">
        <v>1351.5</v>
      </c>
      <c r="H89" s="239">
        <f t="shared" si="52"/>
        <v>5672.2543766185718</v>
      </c>
      <c r="I89" s="213">
        <f t="shared" si="53"/>
        <v>4.3904358756907081E-3</v>
      </c>
      <c r="J89" s="5">
        <f>Calculations!AS89</f>
        <v>12704129.108307777</v>
      </c>
      <c r="K89" s="5">
        <f t="shared" si="54"/>
        <v>624880.04710074991</v>
      </c>
      <c r="L89" s="5">
        <f t="shared" si="55"/>
        <v>13329009.155408528</v>
      </c>
      <c r="M89" s="146">
        <v>1351.5</v>
      </c>
      <c r="N89" s="58">
        <f t="shared" si="56"/>
        <v>9862.3819129918811</v>
      </c>
      <c r="O89" s="36">
        <f t="shared" si="57"/>
        <v>7.2637197434502884E-3</v>
      </c>
      <c r="P89" s="211">
        <f>SUM(H89*'Front page'!$H$10)+H89</f>
        <v>6097.6734548649647</v>
      </c>
      <c r="Q89" s="211">
        <f t="shared" si="58"/>
        <v>8241005.6742500002</v>
      </c>
      <c r="R89" s="218"/>
      <c r="S89" s="5">
        <f t="shared" si="59"/>
        <v>5662957.3654085277</v>
      </c>
      <c r="T89" s="5" t="str">
        <f t="shared" si="60"/>
        <v/>
      </c>
      <c r="U89" s="5">
        <f t="shared" si="61"/>
        <v>574953.88425000012</v>
      </c>
      <c r="V89" s="5">
        <f t="shared" si="62"/>
        <v>-5088003.4811585275</v>
      </c>
      <c r="W89" s="55">
        <f t="shared" si="63"/>
        <v>0.73870585805271838</v>
      </c>
      <c r="X89" s="6">
        <f t="shared" si="64"/>
        <v>8241005.6742500002</v>
      </c>
      <c r="Y89" s="5">
        <f t="shared" si="65"/>
        <v>8241005.6742500002</v>
      </c>
      <c r="Z89" s="57">
        <f t="shared" si="66"/>
        <v>574953.88425000012</v>
      </c>
      <c r="AA89" s="5">
        <f t="shared" si="67"/>
        <v>-5088003.4811585275</v>
      </c>
      <c r="AB89" s="58">
        <f>SUM(F89*'Front page'!$H$11)+F89</f>
        <v>7819372.8257999998</v>
      </c>
      <c r="AC89" s="58">
        <f t="shared" si="68"/>
        <v>13329009.155408528</v>
      </c>
      <c r="AD89" s="58">
        <f t="shared" si="69"/>
        <v>8241005.6742500002</v>
      </c>
      <c r="AE89" s="58">
        <f t="shared" si="70"/>
        <v>5662957.3654085277</v>
      </c>
      <c r="AF89" s="56">
        <f t="shared" si="71"/>
        <v>0.73870585805271838</v>
      </c>
      <c r="AG89" s="58">
        <f t="shared" si="72"/>
        <v>574953.88425000012</v>
      </c>
      <c r="AH89" s="56">
        <f t="shared" si="73"/>
        <v>7.5000000000000011E-2</v>
      </c>
    </row>
    <row r="90" spans="1:34">
      <c r="A90" t="str">
        <f t="shared" si="50"/>
        <v>363</v>
      </c>
      <c r="B90">
        <f t="shared" si="51"/>
        <v>363</v>
      </c>
      <c r="C90" s="15" t="s">
        <v>99</v>
      </c>
      <c r="D90" s="155">
        <v>4475216.5999999996</v>
      </c>
      <c r="E90" s="155">
        <v>560094.87999999989</v>
      </c>
      <c r="F90" s="155">
        <f t="shared" si="74"/>
        <v>5035311.4799999995</v>
      </c>
      <c r="G90" s="238">
        <v>794.5</v>
      </c>
      <c r="H90" s="239">
        <f t="shared" si="52"/>
        <v>6337.711113908118</v>
      </c>
      <c r="I90" s="213">
        <f t="shared" si="53"/>
        <v>2.8837806960692702E-3</v>
      </c>
      <c r="J90" s="5">
        <f>Calculations!AS90</f>
        <v>5107984.9301683037</v>
      </c>
      <c r="K90" s="5">
        <f t="shared" si="54"/>
        <v>611593.9239313599</v>
      </c>
      <c r="L90" s="5">
        <f t="shared" si="55"/>
        <v>5719578.8540996639</v>
      </c>
      <c r="M90" s="146">
        <v>794.5</v>
      </c>
      <c r="N90" s="58">
        <f t="shared" si="56"/>
        <v>7198.9664620511821</v>
      </c>
      <c r="O90" s="36">
        <f t="shared" si="57"/>
        <v>3.1169171963458791E-3</v>
      </c>
      <c r="P90" s="211">
        <f>SUM(H90*'Front page'!$H$10)+H90</f>
        <v>6813.0394474512268</v>
      </c>
      <c r="Q90" s="211">
        <f t="shared" si="58"/>
        <v>5412959.841</v>
      </c>
      <c r="R90" s="218"/>
      <c r="S90" s="5">
        <f t="shared" si="59"/>
        <v>684267.37409966439</v>
      </c>
      <c r="T90" s="5" t="str">
        <f t="shared" si="60"/>
        <v/>
      </c>
      <c r="U90" s="5">
        <f t="shared" si="61"/>
        <v>377648.3610000005</v>
      </c>
      <c r="V90" s="5">
        <f t="shared" si="62"/>
        <v>-306619.01309966389</v>
      </c>
      <c r="W90" s="55">
        <f t="shared" si="63"/>
        <v>0.13589375291231526</v>
      </c>
      <c r="X90" s="6">
        <f t="shared" si="64"/>
        <v>5412959.8409999991</v>
      </c>
      <c r="Y90" s="5">
        <f t="shared" si="65"/>
        <v>5412959.8409999991</v>
      </c>
      <c r="Z90" s="57">
        <f t="shared" si="66"/>
        <v>377648.36099999957</v>
      </c>
      <c r="AA90" s="5">
        <f t="shared" si="67"/>
        <v>-306619.01309966482</v>
      </c>
      <c r="AB90" s="58">
        <f>SUM(F90*'Front page'!$H$11)+F90</f>
        <v>5136017.7095999997</v>
      </c>
      <c r="AC90" s="58">
        <f t="shared" si="68"/>
        <v>5719578.8540996639</v>
      </c>
      <c r="AD90" s="58">
        <f t="shared" si="69"/>
        <v>5412959.841</v>
      </c>
      <c r="AE90" s="58">
        <f t="shared" si="70"/>
        <v>684267.37409966439</v>
      </c>
      <c r="AF90" s="56">
        <f t="shared" si="71"/>
        <v>0.13589375291231526</v>
      </c>
      <c r="AG90" s="58">
        <f t="shared" si="72"/>
        <v>377648.3610000005</v>
      </c>
      <c r="AH90" s="56">
        <f t="shared" si="73"/>
        <v>7.5000000000000108E-2</v>
      </c>
    </row>
    <row r="91" spans="1:34">
      <c r="A91" t="str">
        <f t="shared" si="50"/>
        <v>364</v>
      </c>
      <c r="B91">
        <f t="shared" si="51"/>
        <v>364</v>
      </c>
      <c r="C91" s="15" t="s">
        <v>100</v>
      </c>
      <c r="D91" s="155">
        <v>198239.08999999997</v>
      </c>
      <c r="E91" s="155">
        <v>32479</v>
      </c>
      <c r="F91" s="155">
        <f t="shared" si="74"/>
        <v>230718.08999999997</v>
      </c>
      <c r="G91" s="238">
        <v>9.5</v>
      </c>
      <c r="H91" s="239">
        <f t="shared" si="52"/>
        <v>24286.114736842101</v>
      </c>
      <c r="I91" s="213">
        <f t="shared" si="53"/>
        <v>1.3213489906605986E-4</v>
      </c>
      <c r="J91" s="5">
        <f>Calculations!AS91</f>
        <v>159635.78051057211</v>
      </c>
      <c r="K91" s="5">
        <f t="shared" si="54"/>
        <v>35465.346613000002</v>
      </c>
      <c r="L91" s="5">
        <f t="shared" si="55"/>
        <v>195101.12712357211</v>
      </c>
      <c r="M91" s="146">
        <v>9.5</v>
      </c>
      <c r="N91" s="58">
        <f t="shared" si="56"/>
        <v>20536.960749849695</v>
      </c>
      <c r="O91" s="36">
        <f t="shared" si="57"/>
        <v>1.0632147465228896E-4</v>
      </c>
      <c r="P91" s="211">
        <f>SUM(H91*'Front page'!$H$10)+H91</f>
        <v>26107.573342105257</v>
      </c>
      <c r="Q91" s="211">
        <f t="shared" si="58"/>
        <v>195101.12712357211</v>
      </c>
      <c r="R91" s="218"/>
      <c r="S91" s="5">
        <f t="shared" si="59"/>
        <v>-35616.96287642786</v>
      </c>
      <c r="T91" s="5">
        <f t="shared" si="60"/>
        <v>-35616.96287642786</v>
      </c>
      <c r="U91" s="5">
        <f t="shared" si="61"/>
        <v>-35616.96287642786</v>
      </c>
      <c r="V91" s="5">
        <f t="shared" si="62"/>
        <v>0</v>
      </c>
      <c r="W91" s="55">
        <f t="shared" si="63"/>
        <v>-0.15437438337161974</v>
      </c>
      <c r="X91" s="6">
        <f t="shared" si="64"/>
        <v>248021.94674999997</v>
      </c>
      <c r="Y91" s="5">
        <f t="shared" si="65"/>
        <v>195101.12712357211</v>
      </c>
      <c r="Z91" s="57">
        <f t="shared" si="66"/>
        <v>-35616.96287642786</v>
      </c>
      <c r="AA91" s="5">
        <f t="shared" si="67"/>
        <v>0</v>
      </c>
      <c r="AB91" s="58">
        <f>SUM(F91*'Front page'!$H$11)+F91</f>
        <v>235332.45179999998</v>
      </c>
      <c r="AC91" s="58">
        <f t="shared" si="68"/>
        <v>235332.45179999998</v>
      </c>
      <c r="AD91" s="58">
        <f t="shared" si="69"/>
        <v>235332.45179999998</v>
      </c>
      <c r="AE91" s="58">
        <f t="shared" si="70"/>
        <v>4614.3618000000133</v>
      </c>
      <c r="AF91" s="56">
        <f t="shared" si="71"/>
        <v>2.0000000000000059E-2</v>
      </c>
      <c r="AG91" s="58">
        <f t="shared" si="72"/>
        <v>4614.3618000000133</v>
      </c>
      <c r="AH91" s="56">
        <f t="shared" si="73"/>
        <v>2.0000000000000059E-2</v>
      </c>
    </row>
    <row r="92" spans="1:34">
      <c r="A92" t="str">
        <f t="shared" si="50"/>
        <v>365</v>
      </c>
      <c r="B92">
        <f t="shared" si="51"/>
        <v>365</v>
      </c>
      <c r="C92" s="15" t="s">
        <v>101</v>
      </c>
      <c r="D92" s="155">
        <v>2154741.58</v>
      </c>
      <c r="E92" s="155">
        <v>1101757.1599999999</v>
      </c>
      <c r="F92" s="155">
        <f t="shared" si="74"/>
        <v>3256498.74</v>
      </c>
      <c r="G92" s="238">
        <v>293.5</v>
      </c>
      <c r="H92" s="239">
        <f t="shared" si="52"/>
        <v>11095.396047700171</v>
      </c>
      <c r="I92" s="213">
        <f t="shared" si="53"/>
        <v>1.8650342169469728E-3</v>
      </c>
      <c r="J92" s="5">
        <f>Calculations!AS92</f>
        <v>2384271.4052208066</v>
      </c>
      <c r="K92" s="5">
        <f t="shared" si="54"/>
        <v>1203060.4255905198</v>
      </c>
      <c r="L92" s="5">
        <f t="shared" si="55"/>
        <v>3587331.8308113264</v>
      </c>
      <c r="M92" s="146">
        <v>293.5</v>
      </c>
      <c r="N92" s="58">
        <f t="shared" si="56"/>
        <v>12222.595675677432</v>
      </c>
      <c r="O92" s="36">
        <f t="shared" si="57"/>
        <v>1.9549369905863235E-3</v>
      </c>
      <c r="P92" s="211">
        <f>SUM(H92*'Front page'!$H$10)+H92</f>
        <v>11927.550751277684</v>
      </c>
      <c r="Q92" s="211">
        <f t="shared" si="58"/>
        <v>3500736.1455000001</v>
      </c>
      <c r="R92" s="218"/>
      <c r="S92" s="5">
        <f t="shared" si="59"/>
        <v>330833.09081132617</v>
      </c>
      <c r="T92" s="5" t="str">
        <f t="shared" si="60"/>
        <v/>
      </c>
      <c r="U92" s="5">
        <f t="shared" si="61"/>
        <v>244237.40549999988</v>
      </c>
      <c r="V92" s="5">
        <f t="shared" si="62"/>
        <v>-86595.685311326291</v>
      </c>
      <c r="W92" s="55">
        <f t="shared" si="63"/>
        <v>0.10159165325251321</v>
      </c>
      <c r="X92" s="6">
        <f t="shared" si="64"/>
        <v>3500736.1455000001</v>
      </c>
      <c r="Y92" s="5">
        <f t="shared" si="65"/>
        <v>3500736.1455000001</v>
      </c>
      <c r="Z92" s="57">
        <f t="shared" si="66"/>
        <v>244237.40549999988</v>
      </c>
      <c r="AA92" s="5">
        <f t="shared" si="67"/>
        <v>-86595.685311326291</v>
      </c>
      <c r="AB92" s="58">
        <f>SUM(F92*'Front page'!$H$11)+F92</f>
        <v>3321628.7148000002</v>
      </c>
      <c r="AC92" s="58">
        <f t="shared" si="68"/>
        <v>3587331.8308113264</v>
      </c>
      <c r="AD92" s="58">
        <f t="shared" si="69"/>
        <v>3500736.1455000001</v>
      </c>
      <c r="AE92" s="58">
        <f t="shared" si="70"/>
        <v>330833.09081132617</v>
      </c>
      <c r="AF92" s="56">
        <f t="shared" si="71"/>
        <v>0.10159165325251321</v>
      </c>
      <c r="AG92" s="58">
        <f t="shared" si="72"/>
        <v>244237.40549999988</v>
      </c>
      <c r="AH92" s="56">
        <f t="shared" si="73"/>
        <v>7.4999999999999956E-2</v>
      </c>
    </row>
    <row r="93" spans="1:34">
      <c r="A93" t="str">
        <f t="shared" si="50"/>
        <v>370</v>
      </c>
      <c r="B93">
        <f t="shared" si="51"/>
        <v>370</v>
      </c>
      <c r="C93" s="15" t="s">
        <v>102</v>
      </c>
      <c r="D93" s="155">
        <v>6334098.5900000008</v>
      </c>
      <c r="E93" s="155">
        <v>643081.38</v>
      </c>
      <c r="F93" s="155">
        <f t="shared" si="74"/>
        <v>6977179.9700000007</v>
      </c>
      <c r="G93" s="238">
        <v>1162.5</v>
      </c>
      <c r="H93" s="239">
        <f t="shared" si="52"/>
        <v>6001.8752430107534</v>
      </c>
      <c r="I93" s="213">
        <f t="shared" si="53"/>
        <v>3.9959110752940301E-3</v>
      </c>
      <c r="J93" s="5">
        <f>Calculations!AS93</f>
        <v>6910393.0142453033</v>
      </c>
      <c r="K93" s="5">
        <f t="shared" si="54"/>
        <v>702210.78364686004</v>
      </c>
      <c r="L93" s="5">
        <f t="shared" si="55"/>
        <v>7612603.7978921635</v>
      </c>
      <c r="M93" s="146">
        <v>1162.5</v>
      </c>
      <c r="N93" s="58">
        <f t="shared" si="56"/>
        <v>6548.4763852835813</v>
      </c>
      <c r="O93" s="36">
        <f t="shared" si="57"/>
        <v>4.1485319622108973E-3</v>
      </c>
      <c r="P93" s="211">
        <f>SUM(H93*'Front page'!$H$10)+H93</f>
        <v>6452.0158862365597</v>
      </c>
      <c r="Q93" s="211">
        <f t="shared" si="58"/>
        <v>7500468.4677500008</v>
      </c>
      <c r="R93" s="218"/>
      <c r="S93" s="5">
        <f t="shared" si="59"/>
        <v>635423.82789216284</v>
      </c>
      <c r="T93" s="5" t="str">
        <f t="shared" si="60"/>
        <v/>
      </c>
      <c r="U93" s="5">
        <f t="shared" si="61"/>
        <v>523288.4977500001</v>
      </c>
      <c r="V93" s="5">
        <f t="shared" si="62"/>
        <v>-112135.33014216274</v>
      </c>
      <c r="W93" s="55">
        <f t="shared" si="63"/>
        <v>9.1071726775619172E-2</v>
      </c>
      <c r="X93" s="6">
        <f t="shared" si="64"/>
        <v>7500468.4677500008</v>
      </c>
      <c r="Y93" s="5">
        <f t="shared" si="65"/>
        <v>7500468.4677500008</v>
      </c>
      <c r="Z93" s="57">
        <f t="shared" si="66"/>
        <v>523288.4977500001</v>
      </c>
      <c r="AA93" s="5">
        <f t="shared" si="67"/>
        <v>-112135.33014216274</v>
      </c>
      <c r="AB93" s="58">
        <f>SUM(F93*'Front page'!$H$11)+F93</f>
        <v>7116723.5694000004</v>
      </c>
      <c r="AC93" s="58">
        <f t="shared" si="68"/>
        <v>7612603.7978921635</v>
      </c>
      <c r="AD93" s="58">
        <f t="shared" si="69"/>
        <v>7500468.4677500008</v>
      </c>
      <c r="AE93" s="58">
        <f t="shared" si="70"/>
        <v>635423.82789216284</v>
      </c>
      <c r="AF93" s="56">
        <f t="shared" si="71"/>
        <v>9.1071726775619172E-2</v>
      </c>
      <c r="AG93" s="58">
        <f t="shared" si="72"/>
        <v>523288.4977500001</v>
      </c>
      <c r="AH93" s="56">
        <f t="shared" si="73"/>
        <v>7.5000000000000011E-2</v>
      </c>
    </row>
    <row r="94" spans="1:34">
      <c r="A94" t="str">
        <f t="shared" si="50"/>
        <v>371</v>
      </c>
      <c r="B94">
        <f t="shared" si="51"/>
        <v>371</v>
      </c>
      <c r="C94" s="15" t="s">
        <v>103</v>
      </c>
      <c r="D94" s="155">
        <v>7852329.1099999994</v>
      </c>
      <c r="E94" s="155">
        <v>743529.03</v>
      </c>
      <c r="F94" s="155">
        <f t="shared" si="74"/>
        <v>8595858.1399999987</v>
      </c>
      <c r="G94" s="238">
        <v>1437</v>
      </c>
      <c r="H94" s="239">
        <f t="shared" si="52"/>
        <v>5981.8080306193451</v>
      </c>
      <c r="I94" s="213">
        <f t="shared" si="53"/>
        <v>4.9229466476385488E-3</v>
      </c>
      <c r="J94" s="5">
        <f>Calculations!AS94</f>
        <v>8488053.4091262557</v>
      </c>
      <c r="K94" s="5">
        <f t="shared" si="54"/>
        <v>811894.29372140998</v>
      </c>
      <c r="L94" s="5">
        <f t="shared" si="55"/>
        <v>9299947.7028476652</v>
      </c>
      <c r="M94" s="146">
        <v>1437</v>
      </c>
      <c r="N94" s="58">
        <f t="shared" si="56"/>
        <v>6471.7798906385979</v>
      </c>
      <c r="O94" s="36">
        <f t="shared" si="57"/>
        <v>5.0680596700482423E-3</v>
      </c>
      <c r="P94" s="211">
        <f>SUM(H94*'Front page'!$H$10)+H94</f>
        <v>6430.4436329157961</v>
      </c>
      <c r="Q94" s="211">
        <f t="shared" si="58"/>
        <v>9240547.5004999992</v>
      </c>
      <c r="R94" s="218"/>
      <c r="S94" s="5">
        <f t="shared" si="59"/>
        <v>704089.56284766644</v>
      </c>
      <c r="T94" s="5" t="str">
        <f t="shared" si="60"/>
        <v/>
      </c>
      <c r="U94" s="5">
        <f t="shared" si="61"/>
        <v>644689.36050000042</v>
      </c>
      <c r="V94" s="5">
        <f t="shared" si="62"/>
        <v>-59400.202347666025</v>
      </c>
      <c r="W94" s="55">
        <f t="shared" si="63"/>
        <v>8.1910328367478913E-2</v>
      </c>
      <c r="X94" s="6">
        <f t="shared" si="64"/>
        <v>9240547.5004999992</v>
      </c>
      <c r="Y94" s="5">
        <f t="shared" si="65"/>
        <v>9240547.5004999992</v>
      </c>
      <c r="Z94" s="57">
        <f t="shared" si="66"/>
        <v>644689.36050000042</v>
      </c>
      <c r="AA94" s="5">
        <f t="shared" si="67"/>
        <v>-59400.202347666025</v>
      </c>
      <c r="AB94" s="58">
        <f>SUM(F94*'Front page'!$H$11)+F94</f>
        <v>8767775.3027999979</v>
      </c>
      <c r="AC94" s="58">
        <f t="shared" si="68"/>
        <v>9299947.7028476652</v>
      </c>
      <c r="AD94" s="58">
        <f t="shared" si="69"/>
        <v>9240547.5004999992</v>
      </c>
      <c r="AE94" s="58">
        <f t="shared" si="70"/>
        <v>704089.56284766644</v>
      </c>
      <c r="AF94" s="56">
        <f t="shared" si="71"/>
        <v>8.1910328367478913E-2</v>
      </c>
      <c r="AG94" s="58">
        <f t="shared" si="72"/>
        <v>644689.36050000042</v>
      </c>
      <c r="AH94" s="56">
        <f t="shared" si="73"/>
        <v>7.5000000000000053E-2</v>
      </c>
    </row>
    <row r="95" spans="1:34">
      <c r="A95" t="str">
        <f t="shared" si="50"/>
        <v>372</v>
      </c>
      <c r="B95">
        <f t="shared" si="51"/>
        <v>372</v>
      </c>
      <c r="C95" s="15" t="s">
        <v>104</v>
      </c>
      <c r="D95" s="155">
        <v>5584711.8500000006</v>
      </c>
      <c r="E95" s="155">
        <v>582024.45000000007</v>
      </c>
      <c r="F95" s="155">
        <f t="shared" si="74"/>
        <v>6166736.3000000007</v>
      </c>
      <c r="G95" s="238">
        <v>964.5</v>
      </c>
      <c r="H95" s="239">
        <f t="shared" si="52"/>
        <v>6393.7131156039404</v>
      </c>
      <c r="I95" s="213">
        <f t="shared" si="53"/>
        <v>3.5317606806102965E-3</v>
      </c>
      <c r="J95" s="5">
        <f>Calculations!AS95</f>
        <v>5677013.6701356582</v>
      </c>
      <c r="K95" s="5">
        <f t="shared" si="54"/>
        <v>635539.85210415011</v>
      </c>
      <c r="L95" s="5">
        <f t="shared" si="55"/>
        <v>6312553.522239808</v>
      </c>
      <c r="M95" s="146">
        <v>964.5</v>
      </c>
      <c r="N95" s="58">
        <f t="shared" si="56"/>
        <v>6544.8973792014594</v>
      </c>
      <c r="O95" s="36">
        <f t="shared" si="57"/>
        <v>3.4400621318857959E-3</v>
      </c>
      <c r="P95" s="211">
        <f>SUM(H95*'Front page'!$H$10)+H95</f>
        <v>6873.2415992742363</v>
      </c>
      <c r="Q95" s="211">
        <f t="shared" si="58"/>
        <v>6312553.522239808</v>
      </c>
      <c r="R95" s="218"/>
      <c r="S95" s="5">
        <f t="shared" si="59"/>
        <v>145817.22223980725</v>
      </c>
      <c r="T95" s="5" t="str">
        <f t="shared" si="60"/>
        <v/>
      </c>
      <c r="U95" s="5">
        <f t="shared" si="61"/>
        <v>145817.22223980725</v>
      </c>
      <c r="V95" s="5">
        <f t="shared" si="62"/>
        <v>0</v>
      </c>
      <c r="W95" s="55">
        <f t="shared" si="63"/>
        <v>2.3645769033420035E-2</v>
      </c>
      <c r="X95" s="6">
        <f t="shared" si="64"/>
        <v>6629241.5225000009</v>
      </c>
      <c r="Y95" s="5">
        <f t="shared" si="65"/>
        <v>6312553.522239808</v>
      </c>
      <c r="Z95" s="57">
        <f t="shared" si="66"/>
        <v>145817.22223980725</v>
      </c>
      <c r="AA95" s="5">
        <f t="shared" si="67"/>
        <v>0</v>
      </c>
      <c r="AB95" s="58">
        <f>SUM(F95*'Front page'!$H$11)+F95</f>
        <v>6290071.0260000005</v>
      </c>
      <c r="AC95" s="58">
        <f t="shared" si="68"/>
        <v>6312553.522239808</v>
      </c>
      <c r="AD95" s="58">
        <f t="shared" si="69"/>
        <v>6312553.522239808</v>
      </c>
      <c r="AE95" s="58">
        <f t="shared" si="70"/>
        <v>145817.22223980725</v>
      </c>
      <c r="AF95" s="56">
        <f t="shared" si="71"/>
        <v>2.3645769033420035E-2</v>
      </c>
      <c r="AG95" s="58">
        <f t="shared" si="72"/>
        <v>145817.22223980725</v>
      </c>
      <c r="AH95" s="56">
        <f t="shared" si="73"/>
        <v>2.3645769033420035E-2</v>
      </c>
    </row>
    <row r="96" spans="1:34">
      <c r="A96" t="str">
        <f t="shared" si="50"/>
        <v>373</v>
      </c>
      <c r="B96">
        <f t="shared" si="51"/>
        <v>373</v>
      </c>
      <c r="C96" s="15" t="s">
        <v>105</v>
      </c>
      <c r="D96" s="155">
        <v>9575970.1300000008</v>
      </c>
      <c r="E96" s="155">
        <v>1011841.79</v>
      </c>
      <c r="F96" s="155">
        <f t="shared" si="74"/>
        <v>10587811.920000002</v>
      </c>
      <c r="G96" s="238">
        <v>1726.5</v>
      </c>
      <c r="H96" s="239">
        <f t="shared" si="52"/>
        <v>6132.5293483927035</v>
      </c>
      <c r="I96" s="213">
        <f t="shared" si="53"/>
        <v>6.063761447486089E-3</v>
      </c>
      <c r="J96" s="5">
        <f>Calculations!AS96</f>
        <v>9425957.6889618076</v>
      </c>
      <c r="K96" s="5">
        <f t="shared" si="54"/>
        <v>1104877.60706513</v>
      </c>
      <c r="L96" s="5">
        <f t="shared" si="55"/>
        <v>10530835.296026938</v>
      </c>
      <c r="M96" s="146">
        <v>1726.5</v>
      </c>
      <c r="N96" s="58">
        <f t="shared" si="56"/>
        <v>6099.5281181737255</v>
      </c>
      <c r="O96" s="36">
        <f t="shared" si="57"/>
        <v>5.7388389011448285E-3</v>
      </c>
      <c r="P96" s="211">
        <f>SUM(H96*'Front page'!$H$10)+H96</f>
        <v>6592.4690495221566</v>
      </c>
      <c r="Q96" s="211">
        <f t="shared" si="58"/>
        <v>10530835.296026938</v>
      </c>
      <c r="R96" s="218"/>
      <c r="S96" s="5">
        <f t="shared" si="59"/>
        <v>-56976.623973064125</v>
      </c>
      <c r="T96" s="5">
        <f t="shared" si="60"/>
        <v>-56976.623973064125</v>
      </c>
      <c r="U96" s="5">
        <f t="shared" si="61"/>
        <v>-56976.623973064125</v>
      </c>
      <c r="V96" s="5">
        <f t="shared" si="62"/>
        <v>0</v>
      </c>
      <c r="W96" s="55">
        <f t="shared" si="63"/>
        <v>-5.3813407721606107E-3</v>
      </c>
      <c r="X96" s="6">
        <f t="shared" si="64"/>
        <v>11381897.814000001</v>
      </c>
      <c r="Y96" s="5">
        <f t="shared" si="65"/>
        <v>10530835.296026938</v>
      </c>
      <c r="Z96" s="57">
        <f t="shared" si="66"/>
        <v>-56976.623973064125</v>
      </c>
      <c r="AA96" s="5">
        <f t="shared" si="67"/>
        <v>0</v>
      </c>
      <c r="AB96" s="58">
        <f>SUM(F96*'Front page'!$H$11)+F96</f>
        <v>10799568.158400001</v>
      </c>
      <c r="AC96" s="58">
        <f t="shared" si="68"/>
        <v>10799568.158400001</v>
      </c>
      <c r="AD96" s="58">
        <f t="shared" si="69"/>
        <v>10799568.158400001</v>
      </c>
      <c r="AE96" s="58">
        <f t="shared" si="70"/>
        <v>211756.23839999922</v>
      </c>
      <c r="AF96" s="56">
        <f t="shared" si="71"/>
        <v>1.9999999999999924E-2</v>
      </c>
      <c r="AG96" s="58">
        <f t="shared" si="72"/>
        <v>211756.23839999922</v>
      </c>
      <c r="AH96" s="56">
        <f t="shared" si="73"/>
        <v>1.9999999999999924E-2</v>
      </c>
    </row>
    <row r="97" spans="1:34">
      <c r="A97" t="str">
        <f t="shared" si="50"/>
        <v>381</v>
      </c>
      <c r="B97">
        <f t="shared" si="51"/>
        <v>381</v>
      </c>
      <c r="C97" s="15" t="s">
        <v>106</v>
      </c>
      <c r="D97" s="155">
        <v>7780293.8399999999</v>
      </c>
      <c r="E97" s="155">
        <v>849481.30999999994</v>
      </c>
      <c r="F97" s="155">
        <f t="shared" si="74"/>
        <v>8629775.1500000004</v>
      </c>
      <c r="G97" s="238">
        <v>1388.5</v>
      </c>
      <c r="H97" s="239">
        <f t="shared" si="52"/>
        <v>6215.1783579402236</v>
      </c>
      <c r="I97" s="213">
        <f t="shared" si="53"/>
        <v>4.9423713086738964E-3</v>
      </c>
      <c r="J97" s="5">
        <f>Calculations!AS97</f>
        <v>7570179.9380730819</v>
      </c>
      <c r="K97" s="5">
        <f t="shared" si="54"/>
        <v>927588.5680105699</v>
      </c>
      <c r="L97" s="5">
        <f t="shared" si="55"/>
        <v>8497768.5060836524</v>
      </c>
      <c r="M97" s="146">
        <v>1388.5</v>
      </c>
      <c r="N97" s="58">
        <f t="shared" si="56"/>
        <v>6120.1069543274416</v>
      </c>
      <c r="O97" s="36">
        <f t="shared" si="57"/>
        <v>4.6309075305769071E-3</v>
      </c>
      <c r="P97" s="211">
        <f>SUM(H97*'Front page'!$H$10)+H97</f>
        <v>6681.3167347857407</v>
      </c>
      <c r="Q97" s="211">
        <f t="shared" si="58"/>
        <v>8497768.5060836524</v>
      </c>
      <c r="R97" s="218"/>
      <c r="S97" s="5">
        <f t="shared" si="59"/>
        <v>-132006.643916348</v>
      </c>
      <c r="T97" s="5">
        <f t="shared" si="60"/>
        <v>-132006.643916348</v>
      </c>
      <c r="U97" s="5">
        <f t="shared" si="61"/>
        <v>-132006.643916348</v>
      </c>
      <c r="V97" s="5">
        <f t="shared" si="62"/>
        <v>0</v>
      </c>
      <c r="W97" s="55">
        <f t="shared" si="63"/>
        <v>-1.529664928944852E-2</v>
      </c>
      <c r="X97" s="6">
        <f t="shared" si="64"/>
        <v>9277008.2862500008</v>
      </c>
      <c r="Y97" s="5">
        <f t="shared" si="65"/>
        <v>8497768.5060836524</v>
      </c>
      <c r="Z97" s="57">
        <f t="shared" si="66"/>
        <v>-132006.643916348</v>
      </c>
      <c r="AA97" s="5">
        <f t="shared" si="67"/>
        <v>0</v>
      </c>
      <c r="AB97" s="58">
        <f>SUM(F97*'Front page'!$H$11)+F97</f>
        <v>8802370.6530000009</v>
      </c>
      <c r="AC97" s="58">
        <f t="shared" si="68"/>
        <v>8802370.6530000009</v>
      </c>
      <c r="AD97" s="58">
        <f t="shared" si="69"/>
        <v>8802370.6530000009</v>
      </c>
      <c r="AE97" s="58">
        <f t="shared" si="70"/>
        <v>172595.50300000049</v>
      </c>
      <c r="AF97" s="56">
        <f t="shared" si="71"/>
        <v>2.0000000000000056E-2</v>
      </c>
      <c r="AG97" s="58">
        <f t="shared" si="72"/>
        <v>172595.50300000049</v>
      </c>
      <c r="AH97" s="56">
        <f t="shared" si="73"/>
        <v>2.0000000000000056E-2</v>
      </c>
    </row>
    <row r="98" spans="1:34">
      <c r="A98" t="str">
        <f t="shared" si="50"/>
        <v>382</v>
      </c>
      <c r="B98">
        <f t="shared" si="51"/>
        <v>382</v>
      </c>
      <c r="C98" s="15" t="s">
        <v>107</v>
      </c>
      <c r="D98" s="155">
        <v>1459109.81</v>
      </c>
      <c r="E98" s="155">
        <v>198660.96</v>
      </c>
      <c r="F98" s="155">
        <f t="shared" si="74"/>
        <v>1657770.77</v>
      </c>
      <c r="G98" s="238">
        <v>171</v>
      </c>
      <c r="H98" s="239">
        <f t="shared" si="52"/>
        <v>9694.5659064327483</v>
      </c>
      <c r="I98" s="213">
        <f t="shared" si="53"/>
        <v>9.4942435319490706E-4</v>
      </c>
      <c r="J98" s="5">
        <f>Calculations!AS98</f>
        <v>1535629.7168283735</v>
      </c>
      <c r="K98" s="5">
        <f t="shared" si="54"/>
        <v>216927.23928911999</v>
      </c>
      <c r="L98" s="5">
        <f t="shared" si="55"/>
        <v>1752556.9561174936</v>
      </c>
      <c r="M98" s="146">
        <v>171</v>
      </c>
      <c r="N98" s="58">
        <f t="shared" si="56"/>
        <v>10248.871088406395</v>
      </c>
      <c r="O98" s="36">
        <f t="shared" si="57"/>
        <v>9.5506593290216758E-4</v>
      </c>
      <c r="P98" s="211">
        <f>SUM(H98*'Front page'!$H$10)+H98</f>
        <v>10421.658349415204</v>
      </c>
      <c r="Q98" s="211">
        <f t="shared" si="58"/>
        <v>1752556.9561174936</v>
      </c>
      <c r="R98" s="218"/>
      <c r="S98" s="5">
        <f t="shared" si="59"/>
        <v>94786.186117493547</v>
      </c>
      <c r="T98" s="5" t="str">
        <f t="shared" si="60"/>
        <v/>
      </c>
      <c r="U98" s="5">
        <f t="shared" si="61"/>
        <v>94786.186117493547</v>
      </c>
      <c r="V98" s="5">
        <f t="shared" si="62"/>
        <v>0</v>
      </c>
      <c r="W98" s="55">
        <f t="shared" si="63"/>
        <v>5.7176895523072556E-2</v>
      </c>
      <c r="X98" s="6">
        <f t="shared" si="64"/>
        <v>1782103.5777499999</v>
      </c>
      <c r="Y98" s="5">
        <f t="shared" si="65"/>
        <v>1752556.9561174936</v>
      </c>
      <c r="Z98" s="57">
        <f t="shared" si="66"/>
        <v>94786.186117493547</v>
      </c>
      <c r="AA98" s="5">
        <f t="shared" si="67"/>
        <v>0</v>
      </c>
      <c r="AB98" s="58">
        <f>SUM(F98*'Front page'!$H$11)+F98</f>
        <v>1690926.1854000001</v>
      </c>
      <c r="AC98" s="58">
        <f t="shared" si="68"/>
        <v>1752556.9561174936</v>
      </c>
      <c r="AD98" s="58">
        <f t="shared" si="69"/>
        <v>1752556.9561174936</v>
      </c>
      <c r="AE98" s="58">
        <f t="shared" si="70"/>
        <v>94786.186117493547</v>
      </c>
      <c r="AF98" s="56">
        <f t="shared" si="71"/>
        <v>5.7176895523072556E-2</v>
      </c>
      <c r="AG98" s="58">
        <f t="shared" si="72"/>
        <v>94786.186117493547</v>
      </c>
      <c r="AH98" s="56">
        <f t="shared" si="73"/>
        <v>5.7176895523072556E-2</v>
      </c>
    </row>
    <row r="99" spans="1:34">
      <c r="A99" t="str">
        <f t="shared" ref="A99:A130" si="75">RIGHT(C99,3)</f>
        <v>383</v>
      </c>
      <c r="B99">
        <f t="shared" ref="B99:B130" si="76">A99*1</f>
        <v>383</v>
      </c>
      <c r="C99" s="15" t="s">
        <v>108</v>
      </c>
      <c r="D99" s="155">
        <v>238026.83</v>
      </c>
      <c r="E99" s="155">
        <v>63323</v>
      </c>
      <c r="F99" s="155">
        <f t="shared" si="74"/>
        <v>301349.82999999996</v>
      </c>
      <c r="G99" s="238">
        <v>16.5</v>
      </c>
      <c r="H99" s="239">
        <f t="shared" ref="H99:H130" si="77">SUM(F99/G99)</f>
        <v>18263.626060606057</v>
      </c>
      <c r="I99" s="213">
        <f t="shared" ref="I99:I130" si="78">F99/$F$177</f>
        <v>1.7258650750196611E-4</v>
      </c>
      <c r="J99" s="5">
        <f>Calculations!AS99</f>
        <v>218733.57881193305</v>
      </c>
      <c r="K99" s="5">
        <f t="shared" ref="K99:K130" si="79">E99*1.091947</f>
        <v>69145.359880999997</v>
      </c>
      <c r="L99" s="5">
        <f t="shared" ref="L99:L130" si="80">J99+K99</f>
        <v>287878.93869293306</v>
      </c>
      <c r="M99" s="146">
        <v>16.5</v>
      </c>
      <c r="N99" s="58">
        <f t="shared" ref="N99:N130" si="81">SUM(L99/M99)</f>
        <v>17447.208405632307</v>
      </c>
      <c r="O99" s="36">
        <f t="shared" ref="O99:O130" si="82">L99/$L$177</f>
        <v>1.5688127349352719E-4</v>
      </c>
      <c r="P99" s="211">
        <f>SUM(H99*'Front page'!$H$10)+H99</f>
        <v>19633.39801515151</v>
      </c>
      <c r="Q99" s="211">
        <f t="shared" ref="Q99:Q130" si="83">MIN(N99,P99)*M99</f>
        <v>287878.93869293306</v>
      </c>
      <c r="R99" s="218"/>
      <c r="S99" s="5">
        <f t="shared" ref="S99:S130" si="84">L99-F99</f>
        <v>-13470.891307066893</v>
      </c>
      <c r="T99" s="5">
        <f t="shared" ref="T99:T130" si="85">IF(S99&lt;0,S99,"")</f>
        <v>-13470.891307066893</v>
      </c>
      <c r="U99" s="5">
        <f t="shared" ref="U99:U130" si="86">SUM(Q99-F99)</f>
        <v>-13470.891307066893</v>
      </c>
      <c r="V99" s="5">
        <f t="shared" ref="V99:V130" si="87">SUM(Q99-L99)</f>
        <v>0</v>
      </c>
      <c r="W99" s="55">
        <f t="shared" ref="W99:W130" si="88">SUM(S99/F99)</f>
        <v>-4.4701838083223394E-2</v>
      </c>
      <c r="X99" s="6">
        <f t="shared" ref="X99:X130" si="89">SUM(F99*$X$1)+F99</f>
        <v>323951.06724999996</v>
      </c>
      <c r="Y99" s="5">
        <f t="shared" ref="Y99:Y130" si="90">MIN(L99,X99)</f>
        <v>287878.93869293306</v>
      </c>
      <c r="Z99" s="57">
        <f t="shared" ref="Z99:Z130" si="91">SUM(Y99-F99)</f>
        <v>-13470.891307066893</v>
      </c>
      <c r="AA99" s="5">
        <f t="shared" ref="AA99:AA130" si="92">SUM(Y99-L99)</f>
        <v>0</v>
      </c>
      <c r="AB99" s="58">
        <f>SUM(F99*'Front page'!$H$11)+F99</f>
        <v>307376.82659999997</v>
      </c>
      <c r="AC99" s="58">
        <f t="shared" ref="AC99:AC130" si="93">MAX(AB99,L99)</f>
        <v>307376.82659999997</v>
      </c>
      <c r="AD99" s="58">
        <f t="shared" ref="AD99:AD130" si="94">MAX(Q99,AB99)</f>
        <v>307376.82659999997</v>
      </c>
      <c r="AE99" s="58">
        <f t="shared" ref="AE99:AE130" si="95">SUM(AC99-F99)</f>
        <v>6026.9966000000131</v>
      </c>
      <c r="AF99" s="56">
        <f t="shared" ref="AF99:AF130" si="96">SUM(AE99/F99)</f>
        <v>2.0000000000000046E-2</v>
      </c>
      <c r="AG99" s="58">
        <f t="shared" ref="AG99:AG130" si="97">SUM(AD99-F99)</f>
        <v>6026.9966000000131</v>
      </c>
      <c r="AH99" s="56">
        <f t="shared" ref="AH99:AH130" si="98">SUM(AG99/F99)</f>
        <v>2.0000000000000046E-2</v>
      </c>
    </row>
    <row r="100" spans="1:34">
      <c r="A100" t="str">
        <f t="shared" si="75"/>
        <v>391</v>
      </c>
      <c r="B100">
        <f t="shared" si="76"/>
        <v>391</v>
      </c>
      <c r="C100" s="15" t="s">
        <v>109</v>
      </c>
      <c r="D100" s="155">
        <v>5821850.2699999996</v>
      </c>
      <c r="E100" s="155">
        <v>1026305.39</v>
      </c>
      <c r="F100" s="155">
        <f t="shared" si="74"/>
        <v>6848155.6599999992</v>
      </c>
      <c r="G100" s="238">
        <v>1054</v>
      </c>
      <c r="H100" s="239">
        <f t="shared" si="77"/>
        <v>6497.30138519924</v>
      </c>
      <c r="I100" s="213">
        <f t="shared" si="78"/>
        <v>3.9220173716017093E-3</v>
      </c>
      <c r="J100" s="5">
        <f>Calculations!AS100</f>
        <v>6366604.9827630296</v>
      </c>
      <c r="K100" s="5">
        <f t="shared" si="79"/>
        <v>1120671.0916943301</v>
      </c>
      <c r="L100" s="5">
        <f t="shared" si="80"/>
        <v>7487276.0744573595</v>
      </c>
      <c r="M100" s="146">
        <v>1054</v>
      </c>
      <c r="N100" s="58">
        <f t="shared" si="81"/>
        <v>7103.6774899974944</v>
      </c>
      <c r="O100" s="36">
        <f t="shared" si="82"/>
        <v>4.0802339028052081E-3</v>
      </c>
      <c r="P100" s="211">
        <f>SUM(H100*'Front page'!$H$10)+H100</f>
        <v>6984.5989890891833</v>
      </c>
      <c r="Q100" s="211">
        <f t="shared" si="83"/>
        <v>7361767.3344999989</v>
      </c>
      <c r="R100" s="218"/>
      <c r="S100" s="5">
        <f t="shared" si="84"/>
        <v>639120.41445736028</v>
      </c>
      <c r="T100" s="5" t="str">
        <f t="shared" si="85"/>
        <v/>
      </c>
      <c r="U100" s="5">
        <f t="shared" si="86"/>
        <v>513611.67449999973</v>
      </c>
      <c r="V100" s="5">
        <f t="shared" si="87"/>
        <v>-125508.73995736055</v>
      </c>
      <c r="W100" s="55">
        <f t="shared" si="88"/>
        <v>9.3327378375823944E-2</v>
      </c>
      <c r="X100" s="6">
        <f t="shared" si="89"/>
        <v>7361767.3344999989</v>
      </c>
      <c r="Y100" s="5">
        <f t="shared" si="90"/>
        <v>7361767.3344999989</v>
      </c>
      <c r="Z100" s="57">
        <f t="shared" si="91"/>
        <v>513611.67449999973</v>
      </c>
      <c r="AA100" s="5">
        <f t="shared" si="92"/>
        <v>-125508.73995736055</v>
      </c>
      <c r="AB100" s="58">
        <f>SUM(F100*'Front page'!$H$11)+F100</f>
        <v>6985118.7731999988</v>
      </c>
      <c r="AC100" s="58">
        <f t="shared" si="93"/>
        <v>7487276.0744573595</v>
      </c>
      <c r="AD100" s="58">
        <f t="shared" si="94"/>
        <v>7361767.3344999989</v>
      </c>
      <c r="AE100" s="58">
        <f t="shared" si="95"/>
        <v>639120.41445736028</v>
      </c>
      <c r="AF100" s="56">
        <f t="shared" si="96"/>
        <v>9.3327378375823944E-2</v>
      </c>
      <c r="AG100" s="58">
        <f t="shared" si="97"/>
        <v>513611.67449999973</v>
      </c>
      <c r="AH100" s="56">
        <f t="shared" si="98"/>
        <v>7.4999999999999969E-2</v>
      </c>
    </row>
    <row r="101" spans="1:34">
      <c r="A101" t="str">
        <f t="shared" si="75"/>
        <v>392</v>
      </c>
      <c r="B101">
        <f t="shared" si="76"/>
        <v>392</v>
      </c>
      <c r="C101" s="15" t="s">
        <v>110</v>
      </c>
      <c r="D101" s="155">
        <v>1410154.0899999999</v>
      </c>
      <c r="E101" s="155">
        <v>139263.56</v>
      </c>
      <c r="F101" s="155">
        <f t="shared" si="74"/>
        <v>1549417.65</v>
      </c>
      <c r="G101" s="238">
        <v>154</v>
      </c>
      <c r="H101" s="239">
        <f t="shared" si="77"/>
        <v>10061.153571428571</v>
      </c>
      <c r="I101" s="213">
        <f t="shared" si="78"/>
        <v>8.8736927734587982E-4</v>
      </c>
      <c r="J101" s="5">
        <f>Calculations!AS101</f>
        <v>1258152.5610298417</v>
      </c>
      <c r="K101" s="5">
        <f t="shared" si="79"/>
        <v>152068.42655132001</v>
      </c>
      <c r="L101" s="5">
        <f t="shared" si="80"/>
        <v>1410220.9875811618</v>
      </c>
      <c r="M101" s="146">
        <v>154</v>
      </c>
      <c r="N101" s="58">
        <f t="shared" si="81"/>
        <v>9157.2791401374143</v>
      </c>
      <c r="O101" s="36">
        <f t="shared" si="82"/>
        <v>7.6850798965538648E-4</v>
      </c>
      <c r="P101" s="211">
        <f>SUM(H101*'Front page'!$H$10)+H101</f>
        <v>10815.740089285713</v>
      </c>
      <c r="Q101" s="211">
        <f t="shared" si="83"/>
        <v>1410220.9875811618</v>
      </c>
      <c r="R101" s="218"/>
      <c r="S101" s="5">
        <f t="shared" si="84"/>
        <v>-139196.66241883812</v>
      </c>
      <c r="T101" s="5">
        <f t="shared" si="85"/>
        <v>-139196.66241883812</v>
      </c>
      <c r="U101" s="5">
        <f t="shared" si="86"/>
        <v>-139196.66241883812</v>
      </c>
      <c r="V101" s="5">
        <f t="shared" si="87"/>
        <v>0</v>
      </c>
      <c r="W101" s="55">
        <f t="shared" si="88"/>
        <v>-8.9838051360030743E-2</v>
      </c>
      <c r="X101" s="6">
        <f t="shared" si="89"/>
        <v>1665623.9737499999</v>
      </c>
      <c r="Y101" s="5">
        <f t="shared" si="90"/>
        <v>1410220.9875811618</v>
      </c>
      <c r="Z101" s="57">
        <f t="shared" si="91"/>
        <v>-139196.66241883812</v>
      </c>
      <c r="AA101" s="5">
        <f t="shared" si="92"/>
        <v>0</v>
      </c>
      <c r="AB101" s="58">
        <f>SUM(F101*'Front page'!$H$11)+F101</f>
        <v>1580406.0029999998</v>
      </c>
      <c r="AC101" s="58">
        <f t="shared" si="93"/>
        <v>1580406.0029999998</v>
      </c>
      <c r="AD101" s="58">
        <f t="shared" si="94"/>
        <v>1580406.0029999998</v>
      </c>
      <c r="AE101" s="58">
        <f t="shared" si="95"/>
        <v>30988.352999999886</v>
      </c>
      <c r="AF101" s="56">
        <f t="shared" si="96"/>
        <v>1.9999999999999928E-2</v>
      </c>
      <c r="AG101" s="58">
        <f t="shared" si="97"/>
        <v>30988.352999999886</v>
      </c>
      <c r="AH101" s="56">
        <f t="shared" si="98"/>
        <v>1.9999999999999928E-2</v>
      </c>
    </row>
    <row r="102" spans="1:34">
      <c r="A102" t="str">
        <f t="shared" si="75"/>
        <v>393</v>
      </c>
      <c r="B102">
        <f t="shared" si="76"/>
        <v>393</v>
      </c>
      <c r="C102" s="15" t="s">
        <v>111</v>
      </c>
      <c r="D102" s="155">
        <v>3015114.1100000003</v>
      </c>
      <c r="E102" s="155">
        <v>388502.96</v>
      </c>
      <c r="F102" s="155">
        <f t="shared" si="74"/>
        <v>3403617.0700000003</v>
      </c>
      <c r="G102" s="238">
        <v>461.5</v>
      </c>
      <c r="H102" s="239">
        <f t="shared" si="77"/>
        <v>7375.1182448537384</v>
      </c>
      <c r="I102" s="213">
        <f t="shared" si="78"/>
        <v>1.9492905736345533E-3</v>
      </c>
      <c r="J102" s="5">
        <f>Calculations!AS102</f>
        <v>3178886.9839306418</v>
      </c>
      <c r="K102" s="5">
        <f t="shared" si="79"/>
        <v>424224.64166312001</v>
      </c>
      <c r="L102" s="5">
        <f t="shared" si="80"/>
        <v>3603111.6255937619</v>
      </c>
      <c r="M102" s="146">
        <v>461.5</v>
      </c>
      <c r="N102" s="58">
        <f t="shared" si="81"/>
        <v>7807.3924714924415</v>
      </c>
      <c r="O102" s="36">
        <f t="shared" si="82"/>
        <v>1.96353627996878E-3</v>
      </c>
      <c r="P102" s="211">
        <f>SUM(H102*'Front page'!$H$10)+H102</f>
        <v>7928.252113217769</v>
      </c>
      <c r="Q102" s="211">
        <f t="shared" si="83"/>
        <v>3603111.6255937619</v>
      </c>
      <c r="R102" s="218"/>
      <c r="S102" s="5">
        <f t="shared" si="84"/>
        <v>199494.55559376162</v>
      </c>
      <c r="T102" s="5" t="str">
        <f t="shared" si="85"/>
        <v/>
      </c>
      <c r="U102" s="5">
        <f t="shared" si="86"/>
        <v>199494.55559376162</v>
      </c>
      <c r="V102" s="5">
        <f t="shared" si="87"/>
        <v>0</v>
      </c>
      <c r="W102" s="55">
        <f t="shared" si="88"/>
        <v>5.8612514713284596E-2</v>
      </c>
      <c r="X102" s="6">
        <f t="shared" si="89"/>
        <v>3658888.3502500001</v>
      </c>
      <c r="Y102" s="5">
        <f t="shared" si="90"/>
        <v>3603111.6255937619</v>
      </c>
      <c r="Z102" s="57">
        <f t="shared" si="91"/>
        <v>199494.55559376162</v>
      </c>
      <c r="AA102" s="5">
        <f t="shared" si="92"/>
        <v>0</v>
      </c>
      <c r="AB102" s="58">
        <f>SUM(F102*'Front page'!$H$11)+F102</f>
        <v>3471689.4114000001</v>
      </c>
      <c r="AC102" s="58">
        <f t="shared" si="93"/>
        <v>3603111.6255937619</v>
      </c>
      <c r="AD102" s="58">
        <f t="shared" si="94"/>
        <v>3603111.6255937619</v>
      </c>
      <c r="AE102" s="58">
        <f t="shared" si="95"/>
        <v>199494.55559376162</v>
      </c>
      <c r="AF102" s="56">
        <f t="shared" si="96"/>
        <v>5.8612514713284596E-2</v>
      </c>
      <c r="AG102" s="58">
        <f t="shared" si="97"/>
        <v>199494.55559376162</v>
      </c>
      <c r="AH102" s="56">
        <f t="shared" si="98"/>
        <v>5.8612514713284596E-2</v>
      </c>
    </row>
    <row r="103" spans="1:34">
      <c r="A103" t="str">
        <f t="shared" si="75"/>
        <v>394</v>
      </c>
      <c r="B103">
        <f t="shared" si="76"/>
        <v>394</v>
      </c>
      <c r="C103" s="15" t="s">
        <v>112</v>
      </c>
      <c r="D103" s="155">
        <v>188296.4</v>
      </c>
      <c r="E103" s="155">
        <v>64354</v>
      </c>
      <c r="F103" s="155">
        <f t="shared" si="74"/>
        <v>252650.4</v>
      </c>
      <c r="G103" s="238">
        <v>15.5</v>
      </c>
      <c r="H103" s="239">
        <f t="shared" si="77"/>
        <v>16300.025806451613</v>
      </c>
      <c r="I103" s="213">
        <f t="shared" si="78"/>
        <v>1.4469578481253746E-4</v>
      </c>
      <c r="J103" s="5">
        <f>Calculations!AS103</f>
        <v>225572.57895312697</v>
      </c>
      <c r="K103" s="5">
        <f t="shared" si="79"/>
        <v>70271.157238</v>
      </c>
      <c r="L103" s="5">
        <f t="shared" si="80"/>
        <v>295843.73619112698</v>
      </c>
      <c r="M103" s="146">
        <v>15.5</v>
      </c>
      <c r="N103" s="58">
        <f t="shared" si="81"/>
        <v>19086.692657492062</v>
      </c>
      <c r="O103" s="36">
        <f t="shared" si="82"/>
        <v>1.6122173542626876E-4</v>
      </c>
      <c r="P103" s="211">
        <f>SUM(H103*'Front page'!$H$10)+H103</f>
        <v>17522.527741935482</v>
      </c>
      <c r="Q103" s="211">
        <f t="shared" si="83"/>
        <v>271599.18</v>
      </c>
      <c r="R103" s="218"/>
      <c r="S103" s="5">
        <f t="shared" si="84"/>
        <v>43193.336191126989</v>
      </c>
      <c r="T103" s="5" t="str">
        <f t="shared" si="85"/>
        <v/>
      </c>
      <c r="U103" s="5">
        <f t="shared" si="86"/>
        <v>18948.78</v>
      </c>
      <c r="V103" s="5">
        <f t="shared" si="87"/>
        <v>-24244.556191126991</v>
      </c>
      <c r="W103" s="55">
        <f t="shared" si="88"/>
        <v>0.17096088583721614</v>
      </c>
      <c r="X103" s="6">
        <f t="shared" si="89"/>
        <v>271599.18</v>
      </c>
      <c r="Y103" s="5">
        <f t="shared" si="90"/>
        <v>271599.18</v>
      </c>
      <c r="Z103" s="57">
        <f t="shared" si="91"/>
        <v>18948.78</v>
      </c>
      <c r="AA103" s="5">
        <f t="shared" si="92"/>
        <v>-24244.556191126991</v>
      </c>
      <c r="AB103" s="58">
        <f>SUM(F103*'Front page'!$H$11)+F103</f>
        <v>257703.408</v>
      </c>
      <c r="AC103" s="58">
        <f t="shared" si="93"/>
        <v>295843.73619112698</v>
      </c>
      <c r="AD103" s="58">
        <f t="shared" si="94"/>
        <v>271599.18</v>
      </c>
      <c r="AE103" s="58">
        <f t="shared" si="95"/>
        <v>43193.336191126989</v>
      </c>
      <c r="AF103" s="56">
        <f t="shared" si="96"/>
        <v>0.17096088583721614</v>
      </c>
      <c r="AG103" s="58">
        <f t="shared" si="97"/>
        <v>18948.78</v>
      </c>
      <c r="AH103" s="56">
        <f t="shared" si="98"/>
        <v>7.4999999999999997E-2</v>
      </c>
    </row>
    <row r="104" spans="1:34">
      <c r="A104" t="str">
        <f t="shared" si="75"/>
        <v>401</v>
      </c>
      <c r="B104">
        <f t="shared" si="76"/>
        <v>401</v>
      </c>
      <c r="C104" s="15" t="s">
        <v>113</v>
      </c>
      <c r="D104" s="155">
        <v>9209281.629999999</v>
      </c>
      <c r="E104" s="155">
        <v>1001859.3300000001</v>
      </c>
      <c r="F104" s="155">
        <f t="shared" si="74"/>
        <v>10211140.959999999</v>
      </c>
      <c r="G104" s="238">
        <v>1718.5</v>
      </c>
      <c r="H104" s="239">
        <f t="shared" si="77"/>
        <v>5941.8917427989518</v>
      </c>
      <c r="I104" s="213">
        <f t="shared" si="78"/>
        <v>5.8480376640553397E-3</v>
      </c>
      <c r="J104" s="5">
        <f>Calculations!AS104</f>
        <v>9044681.0791832525</v>
      </c>
      <c r="K104" s="5">
        <f t="shared" si="79"/>
        <v>1093977.2898155102</v>
      </c>
      <c r="L104" s="5">
        <f t="shared" si="80"/>
        <v>10138658.368998762</v>
      </c>
      <c r="M104" s="146">
        <v>1718.5</v>
      </c>
      <c r="N104" s="58">
        <f t="shared" si="81"/>
        <v>5899.7139185328842</v>
      </c>
      <c r="O104" s="36">
        <f t="shared" si="82"/>
        <v>5.5251198426186877E-3</v>
      </c>
      <c r="P104" s="211">
        <f>SUM(H104*'Front page'!$H$10)+H104</f>
        <v>6387.5336235088735</v>
      </c>
      <c r="Q104" s="211">
        <f t="shared" si="83"/>
        <v>10138658.368998762</v>
      </c>
      <c r="R104" s="218"/>
      <c r="S104" s="5">
        <f t="shared" si="84"/>
        <v>-72482.591001236811</v>
      </c>
      <c r="T104" s="5">
        <f t="shared" si="85"/>
        <v>-72482.591001236811</v>
      </c>
      <c r="U104" s="5">
        <f t="shared" si="86"/>
        <v>-72482.591001236811</v>
      </c>
      <c r="V104" s="5">
        <f t="shared" si="87"/>
        <v>0</v>
      </c>
      <c r="W104" s="55">
        <f t="shared" si="88"/>
        <v>-7.0983831567081627E-3</v>
      </c>
      <c r="X104" s="6">
        <f t="shared" si="89"/>
        <v>10976976.532</v>
      </c>
      <c r="Y104" s="5">
        <f t="shared" si="90"/>
        <v>10138658.368998762</v>
      </c>
      <c r="Z104" s="57">
        <f t="shared" si="91"/>
        <v>-72482.591001236811</v>
      </c>
      <c r="AA104" s="5">
        <f t="shared" si="92"/>
        <v>0</v>
      </c>
      <c r="AB104" s="58">
        <f>SUM(F104*'Front page'!$H$11)+F104</f>
        <v>10415363.779199999</v>
      </c>
      <c r="AC104" s="58">
        <f t="shared" si="93"/>
        <v>10415363.779199999</v>
      </c>
      <c r="AD104" s="58">
        <f t="shared" si="94"/>
        <v>10415363.779199999</v>
      </c>
      <c r="AE104" s="58">
        <f t="shared" si="95"/>
        <v>204222.81919999979</v>
      </c>
      <c r="AF104" s="56">
        <f t="shared" si="96"/>
        <v>1.9999999999999983E-2</v>
      </c>
      <c r="AG104" s="58">
        <f t="shared" si="97"/>
        <v>204222.81919999979</v>
      </c>
      <c r="AH104" s="56">
        <f t="shared" si="98"/>
        <v>1.9999999999999983E-2</v>
      </c>
    </row>
    <row r="105" spans="1:34">
      <c r="A105" t="str">
        <f t="shared" si="75"/>
        <v>411</v>
      </c>
      <c r="B105">
        <f t="shared" si="76"/>
        <v>411</v>
      </c>
      <c r="C105" s="15" t="s">
        <v>114</v>
      </c>
      <c r="D105" s="155">
        <v>46491686.109999999</v>
      </c>
      <c r="E105" s="155">
        <v>4906492.58</v>
      </c>
      <c r="F105" s="155">
        <f t="shared" si="74"/>
        <v>51398178.689999998</v>
      </c>
      <c r="G105" s="238">
        <v>9020</v>
      </c>
      <c r="H105" s="239">
        <f t="shared" si="77"/>
        <v>5698.2459745011083</v>
      </c>
      <c r="I105" s="213">
        <f t="shared" si="78"/>
        <v>2.9436327049094671E-2</v>
      </c>
      <c r="J105" s="5">
        <f>Calculations!AS105</f>
        <v>50172067.640887327</v>
      </c>
      <c r="K105" s="5">
        <f t="shared" si="79"/>
        <v>5357629.8532532603</v>
      </c>
      <c r="L105" s="5">
        <f t="shared" si="80"/>
        <v>55529697.494140588</v>
      </c>
      <c r="M105" s="146">
        <v>9020</v>
      </c>
      <c r="N105" s="58">
        <f t="shared" si="81"/>
        <v>6156.2857532306634</v>
      </c>
      <c r="O105" s="36">
        <f t="shared" si="82"/>
        <v>3.0261226122148946E-2</v>
      </c>
      <c r="P105" s="211">
        <f>SUM(H105*'Front page'!$H$10)+H105</f>
        <v>6125.614422588691</v>
      </c>
      <c r="Q105" s="211">
        <f t="shared" si="83"/>
        <v>55253042.091749996</v>
      </c>
      <c r="R105" s="218"/>
      <c r="S105" s="5">
        <f t="shared" si="84"/>
        <v>4131518.8041405901</v>
      </c>
      <c r="T105" s="5" t="str">
        <f t="shared" si="85"/>
        <v/>
      </c>
      <c r="U105" s="5">
        <f t="shared" si="86"/>
        <v>3854863.4017499983</v>
      </c>
      <c r="V105" s="5">
        <f t="shared" si="87"/>
        <v>-276655.4023905918</v>
      </c>
      <c r="W105" s="55">
        <f t="shared" si="88"/>
        <v>8.038259155172002E-2</v>
      </c>
      <c r="X105" s="6">
        <f t="shared" si="89"/>
        <v>55253042.091749996</v>
      </c>
      <c r="Y105" s="5">
        <f t="shared" si="90"/>
        <v>55253042.091749996</v>
      </c>
      <c r="Z105" s="57">
        <f t="shared" si="91"/>
        <v>3854863.4017499983</v>
      </c>
      <c r="AA105" s="5">
        <f t="shared" si="92"/>
        <v>-276655.4023905918</v>
      </c>
      <c r="AB105" s="58">
        <f>SUM(F105*'Front page'!$H$11)+F105</f>
        <v>52426142.263799995</v>
      </c>
      <c r="AC105" s="58">
        <f t="shared" si="93"/>
        <v>55529697.494140588</v>
      </c>
      <c r="AD105" s="58">
        <f t="shared" si="94"/>
        <v>55253042.091749996</v>
      </c>
      <c r="AE105" s="58">
        <f t="shared" si="95"/>
        <v>4131518.8041405901</v>
      </c>
      <c r="AF105" s="56">
        <f t="shared" si="96"/>
        <v>8.038259155172002E-2</v>
      </c>
      <c r="AG105" s="58">
        <f t="shared" si="97"/>
        <v>3854863.4017499983</v>
      </c>
      <c r="AH105" s="56">
        <f t="shared" si="98"/>
        <v>7.4999999999999969E-2</v>
      </c>
    </row>
    <row r="106" spans="1:34">
      <c r="A106" t="str">
        <f t="shared" si="75"/>
        <v>412</v>
      </c>
      <c r="B106">
        <f t="shared" si="76"/>
        <v>412</v>
      </c>
      <c r="C106" s="15" t="s">
        <v>115</v>
      </c>
      <c r="D106" s="155">
        <v>6782677.6000000006</v>
      </c>
      <c r="E106" s="155">
        <v>627459.07000000007</v>
      </c>
      <c r="F106" s="155">
        <f t="shared" si="74"/>
        <v>7410136.6700000009</v>
      </c>
      <c r="G106" s="238">
        <v>1255</v>
      </c>
      <c r="H106" s="239">
        <f t="shared" si="77"/>
        <v>5904.4913705179288</v>
      </c>
      <c r="I106" s="213">
        <f t="shared" si="78"/>
        <v>4.243870348251232E-3</v>
      </c>
      <c r="J106" s="5">
        <f>Calculations!AS106</f>
        <v>7163615.4714662498</v>
      </c>
      <c r="K106" s="5">
        <f t="shared" si="79"/>
        <v>685152.04910929012</v>
      </c>
      <c r="L106" s="5">
        <f t="shared" si="80"/>
        <v>7848767.5205755401</v>
      </c>
      <c r="M106" s="146">
        <v>1255</v>
      </c>
      <c r="N106" s="58">
        <f t="shared" si="81"/>
        <v>6253.9980243629798</v>
      </c>
      <c r="O106" s="36">
        <f t="shared" si="82"/>
        <v>4.2772307330753391E-3</v>
      </c>
      <c r="P106" s="211">
        <f>SUM(H106*'Front page'!$H$10)+H106</f>
        <v>6347.328223306773</v>
      </c>
      <c r="Q106" s="211">
        <f t="shared" si="83"/>
        <v>7848767.5205755392</v>
      </c>
      <c r="R106" s="218"/>
      <c r="S106" s="5">
        <f t="shared" si="84"/>
        <v>438630.85057553928</v>
      </c>
      <c r="T106" s="5" t="str">
        <f t="shared" si="85"/>
        <v/>
      </c>
      <c r="U106" s="5">
        <f t="shared" si="86"/>
        <v>438630.85057553835</v>
      </c>
      <c r="V106" s="5">
        <f t="shared" si="87"/>
        <v>-9.3132257461547852E-10</v>
      </c>
      <c r="W106" s="55">
        <f t="shared" si="88"/>
        <v>5.9193355009407568E-2</v>
      </c>
      <c r="X106" s="6">
        <f t="shared" si="89"/>
        <v>7965896.9202500004</v>
      </c>
      <c r="Y106" s="5">
        <f t="shared" si="90"/>
        <v>7848767.5205755401</v>
      </c>
      <c r="Z106" s="57">
        <f t="shared" si="91"/>
        <v>438630.85057553928</v>
      </c>
      <c r="AA106" s="5">
        <f t="shared" si="92"/>
        <v>0</v>
      </c>
      <c r="AB106" s="58">
        <f>SUM(F106*'Front page'!$H$11)+F106</f>
        <v>7558339.4034000011</v>
      </c>
      <c r="AC106" s="58">
        <f t="shared" si="93"/>
        <v>7848767.5205755401</v>
      </c>
      <c r="AD106" s="58">
        <f t="shared" si="94"/>
        <v>7848767.5205755392</v>
      </c>
      <c r="AE106" s="58">
        <f t="shared" si="95"/>
        <v>438630.85057553928</v>
      </c>
      <c r="AF106" s="56">
        <f t="shared" si="96"/>
        <v>5.9193355009407568E-2</v>
      </c>
      <c r="AG106" s="58">
        <f t="shared" si="97"/>
        <v>438630.85057553835</v>
      </c>
      <c r="AH106" s="56">
        <f t="shared" si="98"/>
        <v>5.9193355009407443E-2</v>
      </c>
    </row>
    <row r="107" spans="1:34">
      <c r="A107" t="str">
        <f t="shared" si="75"/>
        <v>413</v>
      </c>
      <c r="B107">
        <f t="shared" si="76"/>
        <v>413</v>
      </c>
      <c r="C107" s="15" t="s">
        <v>116</v>
      </c>
      <c r="D107" s="155">
        <v>8632145.4200000018</v>
      </c>
      <c r="E107" s="155">
        <v>1080699.9899999998</v>
      </c>
      <c r="F107" s="155">
        <f t="shared" si="74"/>
        <v>9712845.410000002</v>
      </c>
      <c r="G107" s="238">
        <v>1590</v>
      </c>
      <c r="H107" s="239">
        <f t="shared" si="77"/>
        <v>6108.7078050314476</v>
      </c>
      <c r="I107" s="213">
        <f t="shared" si="78"/>
        <v>5.562658081534019E-3</v>
      </c>
      <c r="J107" s="5">
        <f>Calculations!AS107</f>
        <v>8883040.4541538954</v>
      </c>
      <c r="K107" s="5">
        <f t="shared" si="79"/>
        <v>1180067.1119805297</v>
      </c>
      <c r="L107" s="5">
        <f t="shared" si="80"/>
        <v>10063107.566134425</v>
      </c>
      <c r="M107" s="146">
        <v>1590</v>
      </c>
      <c r="N107" s="58">
        <f t="shared" si="81"/>
        <v>6328.9984692669341</v>
      </c>
      <c r="O107" s="36">
        <f t="shared" si="82"/>
        <v>5.4839480006609875E-3</v>
      </c>
      <c r="P107" s="211">
        <f>SUM(H107*'Front page'!$H$10)+H107</f>
        <v>6566.860890408806</v>
      </c>
      <c r="Q107" s="211">
        <f t="shared" si="83"/>
        <v>10063107.566134425</v>
      </c>
      <c r="R107" s="218"/>
      <c r="S107" s="5">
        <f t="shared" si="84"/>
        <v>350262.15613442287</v>
      </c>
      <c r="T107" s="5" t="str">
        <f t="shared" si="85"/>
        <v/>
      </c>
      <c r="U107" s="5">
        <f t="shared" si="86"/>
        <v>350262.15613442287</v>
      </c>
      <c r="V107" s="5">
        <f t="shared" si="87"/>
        <v>0</v>
      </c>
      <c r="W107" s="55">
        <f t="shared" si="88"/>
        <v>3.6061745178586423E-2</v>
      </c>
      <c r="X107" s="6">
        <f t="shared" si="89"/>
        <v>10441308.815750003</v>
      </c>
      <c r="Y107" s="5">
        <f t="shared" si="90"/>
        <v>10063107.566134425</v>
      </c>
      <c r="Z107" s="57">
        <f t="shared" si="91"/>
        <v>350262.15613442287</v>
      </c>
      <c r="AA107" s="5">
        <f t="shared" si="92"/>
        <v>0</v>
      </c>
      <c r="AB107" s="58">
        <f>SUM(F107*'Front page'!$H$11)+F107</f>
        <v>9907102.3182000015</v>
      </c>
      <c r="AC107" s="58">
        <f t="shared" si="93"/>
        <v>10063107.566134425</v>
      </c>
      <c r="AD107" s="58">
        <f t="shared" si="94"/>
        <v>10063107.566134425</v>
      </c>
      <c r="AE107" s="58">
        <f t="shared" si="95"/>
        <v>350262.15613442287</v>
      </c>
      <c r="AF107" s="56">
        <f t="shared" si="96"/>
        <v>3.6061745178586423E-2</v>
      </c>
      <c r="AG107" s="58">
        <f t="shared" si="97"/>
        <v>350262.15613442287</v>
      </c>
      <c r="AH107" s="56">
        <f t="shared" si="98"/>
        <v>3.6061745178586423E-2</v>
      </c>
    </row>
    <row r="108" spans="1:34">
      <c r="A108" t="str">
        <f t="shared" si="75"/>
        <v>414</v>
      </c>
      <c r="B108">
        <f t="shared" si="76"/>
        <v>414</v>
      </c>
      <c r="C108" s="15" t="s">
        <v>117</v>
      </c>
      <c r="D108" s="155">
        <v>10159890.649999999</v>
      </c>
      <c r="E108" s="155">
        <v>1375762.3299999998</v>
      </c>
      <c r="F108" s="155">
        <f t="shared" ref="F108:F139" si="99">D108+E108</f>
        <v>11535652.979999999</v>
      </c>
      <c r="G108" s="238">
        <v>1839</v>
      </c>
      <c r="H108" s="239">
        <f t="shared" si="77"/>
        <v>6272.7857422512225</v>
      </c>
      <c r="I108" s="213">
        <f t="shared" si="78"/>
        <v>6.6066009049112386E-3</v>
      </c>
      <c r="J108" s="5">
        <f>Calculations!AS108</f>
        <v>10086781.275054071</v>
      </c>
      <c r="K108" s="5">
        <f t="shared" si="79"/>
        <v>1502259.5489565099</v>
      </c>
      <c r="L108" s="5">
        <f t="shared" si="80"/>
        <v>11589040.824010581</v>
      </c>
      <c r="M108" s="146">
        <v>1839</v>
      </c>
      <c r="N108" s="58">
        <f t="shared" si="81"/>
        <v>6301.8166525343013</v>
      </c>
      <c r="O108" s="36">
        <f t="shared" si="82"/>
        <v>6.315514053560344E-3</v>
      </c>
      <c r="P108" s="211">
        <f>SUM(H108*'Front page'!$H$10)+H108</f>
        <v>6743.2446729200637</v>
      </c>
      <c r="Q108" s="211">
        <f t="shared" si="83"/>
        <v>11589040.824010581</v>
      </c>
      <c r="R108" s="218"/>
      <c r="S108" s="5">
        <f t="shared" si="84"/>
        <v>53387.844010582194</v>
      </c>
      <c r="T108" s="5" t="str">
        <f t="shared" si="85"/>
        <v/>
      </c>
      <c r="U108" s="5">
        <f t="shared" si="86"/>
        <v>53387.844010582194</v>
      </c>
      <c r="V108" s="5">
        <f t="shared" si="87"/>
        <v>0</v>
      </c>
      <c r="W108" s="55">
        <f t="shared" si="88"/>
        <v>4.6280729927593751E-3</v>
      </c>
      <c r="X108" s="6">
        <f t="shared" si="89"/>
        <v>12400826.953499999</v>
      </c>
      <c r="Y108" s="5">
        <f t="shared" si="90"/>
        <v>11589040.824010581</v>
      </c>
      <c r="Z108" s="57">
        <f t="shared" si="91"/>
        <v>53387.844010582194</v>
      </c>
      <c r="AA108" s="5">
        <f t="shared" si="92"/>
        <v>0</v>
      </c>
      <c r="AB108" s="58">
        <f>SUM(F108*'Front page'!$H$11)+F108</f>
        <v>11766366.039599998</v>
      </c>
      <c r="AC108" s="58">
        <f t="shared" si="93"/>
        <v>11766366.039599998</v>
      </c>
      <c r="AD108" s="58">
        <f t="shared" si="94"/>
        <v>11766366.039599998</v>
      </c>
      <c r="AE108" s="58">
        <f t="shared" si="95"/>
        <v>230713.05959999934</v>
      </c>
      <c r="AF108" s="56">
        <f t="shared" si="96"/>
        <v>1.9999999999999945E-2</v>
      </c>
      <c r="AG108" s="58">
        <f t="shared" si="97"/>
        <v>230713.05959999934</v>
      </c>
      <c r="AH108" s="56">
        <f t="shared" si="98"/>
        <v>1.9999999999999945E-2</v>
      </c>
    </row>
    <row r="109" spans="1:34">
      <c r="A109" t="str">
        <f t="shared" si="75"/>
        <v>415</v>
      </c>
      <c r="B109">
        <f t="shared" si="76"/>
        <v>415</v>
      </c>
      <c r="C109" s="15" t="s">
        <v>118</v>
      </c>
      <c r="D109" s="155">
        <v>2200688.1399999997</v>
      </c>
      <c r="E109" s="155">
        <v>271024.90000000002</v>
      </c>
      <c r="F109" s="155">
        <f t="shared" si="99"/>
        <v>2471713.0399999996</v>
      </c>
      <c r="G109" s="238">
        <v>314</v>
      </c>
      <c r="H109" s="239">
        <f t="shared" si="77"/>
        <v>7871.6975796178331</v>
      </c>
      <c r="I109" s="213">
        <f t="shared" si="78"/>
        <v>1.4155784362668048E-3</v>
      </c>
      <c r="J109" s="5">
        <f>Calculations!AS109</f>
        <v>2250167.2317332998</v>
      </c>
      <c r="K109" s="5">
        <f t="shared" si="79"/>
        <v>295944.82648030005</v>
      </c>
      <c r="L109" s="5">
        <f t="shared" si="80"/>
        <v>2546112.0582136</v>
      </c>
      <c r="M109" s="146">
        <v>314</v>
      </c>
      <c r="N109" s="58">
        <f t="shared" si="81"/>
        <v>8108.6371280687899</v>
      </c>
      <c r="O109" s="36">
        <f t="shared" si="82"/>
        <v>1.3875183226788124E-3</v>
      </c>
      <c r="P109" s="211">
        <f>SUM(H109*'Front page'!$H$10)+H109</f>
        <v>8462.0748980891713</v>
      </c>
      <c r="Q109" s="211">
        <f t="shared" si="83"/>
        <v>2546112.0582136</v>
      </c>
      <c r="R109" s="218"/>
      <c r="S109" s="5">
        <f t="shared" si="84"/>
        <v>74399.018213600386</v>
      </c>
      <c r="T109" s="5" t="str">
        <f t="shared" si="85"/>
        <v/>
      </c>
      <c r="U109" s="5">
        <f t="shared" si="86"/>
        <v>74399.018213600386</v>
      </c>
      <c r="V109" s="5">
        <f t="shared" si="87"/>
        <v>0</v>
      </c>
      <c r="W109" s="55">
        <f t="shared" si="88"/>
        <v>3.0100184369946277E-2</v>
      </c>
      <c r="X109" s="6">
        <f t="shared" si="89"/>
        <v>2657091.5179999997</v>
      </c>
      <c r="Y109" s="5">
        <f t="shared" si="90"/>
        <v>2546112.0582136</v>
      </c>
      <c r="Z109" s="57">
        <f t="shared" si="91"/>
        <v>74399.018213600386</v>
      </c>
      <c r="AA109" s="5">
        <f t="shared" si="92"/>
        <v>0</v>
      </c>
      <c r="AB109" s="58">
        <f>SUM(F109*'Front page'!$H$11)+F109</f>
        <v>2521147.3007999994</v>
      </c>
      <c r="AC109" s="58">
        <f t="shared" si="93"/>
        <v>2546112.0582136</v>
      </c>
      <c r="AD109" s="58">
        <f t="shared" si="94"/>
        <v>2546112.0582136</v>
      </c>
      <c r="AE109" s="58">
        <f t="shared" si="95"/>
        <v>74399.018213600386</v>
      </c>
      <c r="AF109" s="56">
        <f t="shared" si="96"/>
        <v>3.0100184369946277E-2</v>
      </c>
      <c r="AG109" s="58">
        <f t="shared" si="97"/>
        <v>74399.018213600386</v>
      </c>
      <c r="AH109" s="56">
        <f t="shared" si="98"/>
        <v>3.0100184369946277E-2</v>
      </c>
    </row>
    <row r="110" spans="1:34">
      <c r="A110" t="str">
        <f t="shared" si="75"/>
        <v>416</v>
      </c>
      <c r="B110">
        <f t="shared" si="76"/>
        <v>416</v>
      </c>
      <c r="C110" s="15" t="s">
        <v>119</v>
      </c>
      <c r="D110" s="155">
        <v>150094.19</v>
      </c>
      <c r="E110" s="155">
        <v>36901</v>
      </c>
      <c r="F110" s="155">
        <f t="shared" si="99"/>
        <v>186995.19</v>
      </c>
      <c r="G110" s="238">
        <v>7</v>
      </c>
      <c r="H110" s="239">
        <f t="shared" si="77"/>
        <v>26713.598571428571</v>
      </c>
      <c r="I110" s="213">
        <f t="shared" si="78"/>
        <v>1.0709429224422189E-4</v>
      </c>
      <c r="J110" s="5">
        <f>Calculations!AS110</f>
        <v>158030.09534145682</v>
      </c>
      <c r="K110" s="5">
        <f t="shared" si="79"/>
        <v>40293.936246999998</v>
      </c>
      <c r="L110" s="5">
        <f t="shared" si="80"/>
        <v>198324.03158845683</v>
      </c>
      <c r="M110" s="146">
        <v>7</v>
      </c>
      <c r="N110" s="58">
        <f t="shared" si="81"/>
        <v>28332.004512636689</v>
      </c>
      <c r="O110" s="36">
        <f t="shared" si="82"/>
        <v>1.080778148663204E-4</v>
      </c>
      <c r="P110" s="211">
        <f>SUM(H110*'Front page'!$H$10)+H110</f>
        <v>28717.118464285712</v>
      </c>
      <c r="Q110" s="211">
        <f t="shared" si="83"/>
        <v>198324.03158845683</v>
      </c>
      <c r="R110" s="218"/>
      <c r="S110" s="5">
        <f t="shared" si="84"/>
        <v>11328.841588456824</v>
      </c>
      <c r="T110" s="5" t="str">
        <f t="shared" si="85"/>
        <v/>
      </c>
      <c r="U110" s="5">
        <f t="shared" si="86"/>
        <v>11328.841588456824</v>
      </c>
      <c r="V110" s="5">
        <f t="shared" si="87"/>
        <v>0</v>
      </c>
      <c r="W110" s="55">
        <f t="shared" si="88"/>
        <v>6.0583598906778426E-2</v>
      </c>
      <c r="X110" s="6">
        <f t="shared" si="89"/>
        <v>201019.82925000001</v>
      </c>
      <c r="Y110" s="5">
        <f t="shared" si="90"/>
        <v>198324.03158845683</v>
      </c>
      <c r="Z110" s="57">
        <f t="shared" si="91"/>
        <v>11328.841588456824</v>
      </c>
      <c r="AA110" s="5">
        <f t="shared" si="92"/>
        <v>0</v>
      </c>
      <c r="AB110" s="58">
        <f>SUM(F110*'Front page'!$H$11)+F110</f>
        <v>190735.0938</v>
      </c>
      <c r="AC110" s="58">
        <f t="shared" si="93"/>
        <v>198324.03158845683</v>
      </c>
      <c r="AD110" s="58">
        <f t="shared" si="94"/>
        <v>198324.03158845683</v>
      </c>
      <c r="AE110" s="58">
        <f t="shared" si="95"/>
        <v>11328.841588456824</v>
      </c>
      <c r="AF110" s="56">
        <f t="shared" si="96"/>
        <v>6.0583598906778426E-2</v>
      </c>
      <c r="AG110" s="58">
        <f t="shared" si="97"/>
        <v>11328.841588456824</v>
      </c>
      <c r="AH110" s="56">
        <f t="shared" si="98"/>
        <v>6.0583598906778426E-2</v>
      </c>
    </row>
    <row r="111" spans="1:34">
      <c r="A111" t="str">
        <f t="shared" si="75"/>
        <v>417</v>
      </c>
      <c r="B111">
        <f t="shared" si="76"/>
        <v>417</v>
      </c>
      <c r="C111" s="15" t="s">
        <v>120</v>
      </c>
      <c r="D111" s="155">
        <v>2196323.8499999996</v>
      </c>
      <c r="E111" s="155">
        <v>221521.81</v>
      </c>
      <c r="F111" s="155">
        <f t="shared" si="99"/>
        <v>2417845.6599999997</v>
      </c>
      <c r="G111" s="238">
        <v>295</v>
      </c>
      <c r="H111" s="239">
        <f t="shared" si="77"/>
        <v>8196.0869830508473</v>
      </c>
      <c r="I111" s="213">
        <f t="shared" si="78"/>
        <v>1.3847279692780522E-3</v>
      </c>
      <c r="J111" s="5">
        <f>Calculations!AS111</f>
        <v>2586336.8111085091</v>
      </c>
      <c r="K111" s="5">
        <f t="shared" si="79"/>
        <v>241890.07586407001</v>
      </c>
      <c r="L111" s="5">
        <f t="shared" si="80"/>
        <v>2828226.8869725792</v>
      </c>
      <c r="M111" s="146">
        <v>295</v>
      </c>
      <c r="N111" s="58">
        <f t="shared" si="81"/>
        <v>9587.2097863477265</v>
      </c>
      <c r="O111" s="36">
        <f t="shared" si="82"/>
        <v>1.5412584115094355E-3</v>
      </c>
      <c r="P111" s="211">
        <f>SUM(H111*'Front page'!$H$10)+H111</f>
        <v>8810.7935067796607</v>
      </c>
      <c r="Q111" s="211">
        <f t="shared" si="83"/>
        <v>2599184.0844999999</v>
      </c>
      <c r="R111" s="218"/>
      <c r="S111" s="5">
        <f t="shared" si="84"/>
        <v>410381.22697257949</v>
      </c>
      <c r="T111" s="5" t="str">
        <f t="shared" si="85"/>
        <v/>
      </c>
      <c r="U111" s="5">
        <f t="shared" si="86"/>
        <v>181338.4245000002</v>
      </c>
      <c r="V111" s="5">
        <f t="shared" si="87"/>
        <v>-229042.80247257929</v>
      </c>
      <c r="W111" s="55">
        <f t="shared" si="88"/>
        <v>0.16973011708802768</v>
      </c>
      <c r="X111" s="6">
        <f t="shared" si="89"/>
        <v>2599184.0844999999</v>
      </c>
      <c r="Y111" s="5">
        <f t="shared" si="90"/>
        <v>2599184.0844999999</v>
      </c>
      <c r="Z111" s="57">
        <f t="shared" si="91"/>
        <v>181338.4245000002</v>
      </c>
      <c r="AA111" s="5">
        <f t="shared" si="92"/>
        <v>-229042.80247257929</v>
      </c>
      <c r="AB111" s="58">
        <f>SUM(F111*'Front page'!$H$11)+F111</f>
        <v>2466202.5731999995</v>
      </c>
      <c r="AC111" s="58">
        <f t="shared" si="93"/>
        <v>2828226.8869725792</v>
      </c>
      <c r="AD111" s="58">
        <f t="shared" si="94"/>
        <v>2599184.0844999999</v>
      </c>
      <c r="AE111" s="58">
        <f t="shared" si="95"/>
        <v>410381.22697257949</v>
      </c>
      <c r="AF111" s="56">
        <f t="shared" si="96"/>
        <v>0.16973011708802768</v>
      </c>
      <c r="AG111" s="58">
        <f t="shared" si="97"/>
        <v>181338.4245000002</v>
      </c>
      <c r="AH111" s="56">
        <f t="shared" si="98"/>
        <v>7.5000000000000094E-2</v>
      </c>
    </row>
    <row r="112" spans="1:34">
      <c r="A112" t="str">
        <f t="shared" si="75"/>
        <v>418</v>
      </c>
      <c r="B112">
        <f t="shared" si="76"/>
        <v>418</v>
      </c>
      <c r="C112" s="15" t="s">
        <v>121</v>
      </c>
      <c r="D112" s="155">
        <v>2305218.86</v>
      </c>
      <c r="E112" s="155">
        <v>275851.51999999996</v>
      </c>
      <c r="F112" s="155">
        <f t="shared" si="99"/>
        <v>2581070.38</v>
      </c>
      <c r="G112" s="238">
        <v>336</v>
      </c>
      <c r="H112" s="239">
        <f t="shared" si="77"/>
        <v>7681.757083333333</v>
      </c>
      <c r="I112" s="213">
        <f t="shared" si="78"/>
        <v>1.4782086404394939E-3</v>
      </c>
      <c r="J112" s="5">
        <f>Calculations!AS112</f>
        <v>2508554.3109677383</v>
      </c>
      <c r="K112" s="5">
        <f t="shared" si="79"/>
        <v>301215.23970943998</v>
      </c>
      <c r="L112" s="5">
        <f t="shared" si="80"/>
        <v>2809769.5506771784</v>
      </c>
      <c r="M112" s="146">
        <v>336</v>
      </c>
      <c r="N112" s="58">
        <f t="shared" si="81"/>
        <v>8362.4093770154122</v>
      </c>
      <c r="O112" s="36">
        <f t="shared" si="82"/>
        <v>1.5311999805715287E-3</v>
      </c>
      <c r="P112" s="211">
        <f>SUM(H112*'Front page'!$H$10)+H112</f>
        <v>8257.8888645833322</v>
      </c>
      <c r="Q112" s="211">
        <f t="shared" si="83"/>
        <v>2774650.6584999994</v>
      </c>
      <c r="R112" s="218"/>
      <c r="S112" s="5">
        <f t="shared" si="84"/>
        <v>228699.17067717854</v>
      </c>
      <c r="T112" s="5" t="str">
        <f t="shared" si="85"/>
        <v/>
      </c>
      <c r="U112" s="5">
        <f t="shared" si="86"/>
        <v>193580.27849999955</v>
      </c>
      <c r="V112" s="5">
        <f t="shared" si="87"/>
        <v>-35118.89217717899</v>
      </c>
      <c r="W112" s="55">
        <f t="shared" si="88"/>
        <v>8.8606328773250476E-2</v>
      </c>
      <c r="X112" s="6">
        <f t="shared" si="89"/>
        <v>2774650.6584999999</v>
      </c>
      <c r="Y112" s="5">
        <f t="shared" si="90"/>
        <v>2774650.6584999999</v>
      </c>
      <c r="Z112" s="57">
        <f t="shared" si="91"/>
        <v>193580.27850000001</v>
      </c>
      <c r="AA112" s="5">
        <f t="shared" si="92"/>
        <v>-35118.892177178524</v>
      </c>
      <c r="AB112" s="58">
        <f>SUM(F112*'Front page'!$H$11)+F112</f>
        <v>2632691.7875999999</v>
      </c>
      <c r="AC112" s="58">
        <f t="shared" si="93"/>
        <v>2809769.5506771784</v>
      </c>
      <c r="AD112" s="58">
        <f t="shared" si="94"/>
        <v>2774650.6584999994</v>
      </c>
      <c r="AE112" s="58">
        <f t="shared" si="95"/>
        <v>228699.17067717854</v>
      </c>
      <c r="AF112" s="56">
        <f t="shared" si="96"/>
        <v>8.8606328773250476E-2</v>
      </c>
      <c r="AG112" s="58">
        <f t="shared" si="97"/>
        <v>193580.27849999955</v>
      </c>
      <c r="AH112" s="56">
        <f t="shared" si="98"/>
        <v>7.4999999999999831E-2</v>
      </c>
    </row>
    <row r="113" spans="1:34">
      <c r="A113" t="str">
        <f t="shared" si="75"/>
        <v>421</v>
      </c>
      <c r="B113">
        <f t="shared" si="76"/>
        <v>421</v>
      </c>
      <c r="C113" s="15" t="s">
        <v>122</v>
      </c>
      <c r="D113" s="155">
        <v>6479169.7300000004</v>
      </c>
      <c r="E113" s="155">
        <v>782906.17999999993</v>
      </c>
      <c r="F113" s="155">
        <f t="shared" si="99"/>
        <v>7262075.9100000001</v>
      </c>
      <c r="G113" s="238">
        <v>1141.5</v>
      </c>
      <c r="H113" s="239">
        <f t="shared" si="77"/>
        <v>6361.871143232589</v>
      </c>
      <c r="I113" s="213">
        <f t="shared" si="78"/>
        <v>4.159074251082414E-3</v>
      </c>
      <c r="J113" s="5">
        <f>Calculations!AS113</f>
        <v>6809294.6192858508</v>
      </c>
      <c r="K113" s="5">
        <f t="shared" si="79"/>
        <v>854892.05453245994</v>
      </c>
      <c r="L113" s="5">
        <f t="shared" si="80"/>
        <v>7664186.6738183107</v>
      </c>
      <c r="M113" s="146">
        <v>1141.5</v>
      </c>
      <c r="N113" s="58">
        <f t="shared" si="81"/>
        <v>6714.1363765381611</v>
      </c>
      <c r="O113" s="36">
        <f t="shared" si="82"/>
        <v>4.1766423453549186E-3</v>
      </c>
      <c r="P113" s="211">
        <f>SUM(H113*'Front page'!$H$10)+H113</f>
        <v>6839.0114789750332</v>
      </c>
      <c r="Q113" s="211">
        <f t="shared" si="83"/>
        <v>7664186.6738183107</v>
      </c>
      <c r="R113" s="218"/>
      <c r="S113" s="5">
        <f t="shared" si="84"/>
        <v>402110.76381831057</v>
      </c>
      <c r="T113" s="5" t="str">
        <f t="shared" si="85"/>
        <v/>
      </c>
      <c r="U113" s="5">
        <f t="shared" si="86"/>
        <v>402110.76381831057</v>
      </c>
      <c r="V113" s="5">
        <f t="shared" si="87"/>
        <v>0</v>
      </c>
      <c r="W113" s="55">
        <f t="shared" si="88"/>
        <v>5.5371324783950182E-2</v>
      </c>
      <c r="X113" s="6">
        <f t="shared" si="89"/>
        <v>7806731.6032500006</v>
      </c>
      <c r="Y113" s="5">
        <f t="shared" si="90"/>
        <v>7664186.6738183107</v>
      </c>
      <c r="Z113" s="57">
        <f t="shared" si="91"/>
        <v>402110.76381831057</v>
      </c>
      <c r="AA113" s="5">
        <f t="shared" si="92"/>
        <v>0</v>
      </c>
      <c r="AB113" s="58">
        <f>SUM(F113*'Front page'!$H$11)+F113</f>
        <v>7407317.4282</v>
      </c>
      <c r="AC113" s="58">
        <f t="shared" si="93"/>
        <v>7664186.6738183107</v>
      </c>
      <c r="AD113" s="58">
        <f t="shared" si="94"/>
        <v>7664186.6738183107</v>
      </c>
      <c r="AE113" s="58">
        <f t="shared" si="95"/>
        <v>402110.76381831057</v>
      </c>
      <c r="AF113" s="56">
        <f t="shared" si="96"/>
        <v>5.5371324783950182E-2</v>
      </c>
      <c r="AG113" s="58">
        <f t="shared" si="97"/>
        <v>402110.76381831057</v>
      </c>
      <c r="AH113" s="56">
        <f t="shared" si="98"/>
        <v>5.5371324783950182E-2</v>
      </c>
    </row>
    <row r="114" spans="1:34">
      <c r="A114" t="str">
        <f t="shared" si="75"/>
        <v>422</v>
      </c>
      <c r="B114">
        <f t="shared" si="76"/>
        <v>422</v>
      </c>
      <c r="C114" s="15" t="s">
        <v>123</v>
      </c>
      <c r="D114" s="155">
        <v>1653685.76</v>
      </c>
      <c r="E114" s="155">
        <v>148568.9</v>
      </c>
      <c r="F114" s="155">
        <f t="shared" si="99"/>
        <v>1802254.66</v>
      </c>
      <c r="G114" s="238">
        <v>220.5</v>
      </c>
      <c r="H114" s="239">
        <f t="shared" si="77"/>
        <v>8173.4905215419494</v>
      </c>
      <c r="I114" s="213">
        <f t="shared" si="78"/>
        <v>1.0321719358479262E-3</v>
      </c>
      <c r="J114" s="5">
        <f>Calculations!AS114</f>
        <v>1736517.841812836</v>
      </c>
      <c r="K114" s="5">
        <f t="shared" si="79"/>
        <v>162229.36464829999</v>
      </c>
      <c r="L114" s="5">
        <f t="shared" si="80"/>
        <v>1898747.206461136</v>
      </c>
      <c r="M114" s="146">
        <v>220.5</v>
      </c>
      <c r="N114" s="58">
        <f t="shared" si="81"/>
        <v>8611.0984420006171</v>
      </c>
      <c r="O114" s="36">
        <f t="shared" si="82"/>
        <v>1.0347331456214397E-3</v>
      </c>
      <c r="P114" s="211">
        <f>SUM(H114*'Front page'!$H$10)+H114</f>
        <v>8786.5023106575954</v>
      </c>
      <c r="Q114" s="211">
        <f t="shared" si="83"/>
        <v>1898747.206461136</v>
      </c>
      <c r="R114" s="218"/>
      <c r="S114" s="5">
        <f t="shared" si="84"/>
        <v>96492.54646113608</v>
      </c>
      <c r="T114" s="5" t="str">
        <f t="shared" si="85"/>
        <v/>
      </c>
      <c r="U114" s="5">
        <f t="shared" si="86"/>
        <v>96492.54646113608</v>
      </c>
      <c r="V114" s="5">
        <f t="shared" si="87"/>
        <v>0</v>
      </c>
      <c r="W114" s="55">
        <f t="shared" si="88"/>
        <v>5.3539906763862152E-2</v>
      </c>
      <c r="X114" s="6">
        <f t="shared" si="89"/>
        <v>1937423.7594999999</v>
      </c>
      <c r="Y114" s="5">
        <f t="shared" si="90"/>
        <v>1898747.206461136</v>
      </c>
      <c r="Z114" s="57">
        <f t="shared" si="91"/>
        <v>96492.54646113608</v>
      </c>
      <c r="AA114" s="5">
        <f t="shared" si="92"/>
        <v>0</v>
      </c>
      <c r="AB114" s="58">
        <f>SUM(F114*'Front page'!$H$11)+F114</f>
        <v>1838299.7531999999</v>
      </c>
      <c r="AC114" s="58">
        <f t="shared" si="93"/>
        <v>1898747.206461136</v>
      </c>
      <c r="AD114" s="58">
        <f t="shared" si="94"/>
        <v>1898747.206461136</v>
      </c>
      <c r="AE114" s="58">
        <f t="shared" si="95"/>
        <v>96492.54646113608</v>
      </c>
      <c r="AF114" s="56">
        <f t="shared" si="96"/>
        <v>5.3539906763862152E-2</v>
      </c>
      <c r="AG114" s="58">
        <f t="shared" si="97"/>
        <v>96492.54646113608</v>
      </c>
      <c r="AH114" s="56">
        <f t="shared" si="98"/>
        <v>5.3539906763862152E-2</v>
      </c>
    </row>
    <row r="115" spans="1:34">
      <c r="A115" t="str">
        <f t="shared" si="75"/>
        <v>431</v>
      </c>
      <c r="B115">
        <f t="shared" si="76"/>
        <v>431</v>
      </c>
      <c r="C115" s="15" t="s">
        <v>124</v>
      </c>
      <c r="D115" s="155">
        <v>8388295.6999999993</v>
      </c>
      <c r="E115" s="155">
        <v>711420.72000000009</v>
      </c>
      <c r="F115" s="155">
        <f t="shared" si="99"/>
        <v>9099716.4199999999</v>
      </c>
      <c r="G115" s="238">
        <v>1479.5</v>
      </c>
      <c r="H115" s="239">
        <f t="shared" si="77"/>
        <v>6150.5349239607976</v>
      </c>
      <c r="I115" s="213">
        <f t="shared" si="78"/>
        <v>5.2115120694977476E-3</v>
      </c>
      <c r="J115" s="5">
        <f>Calculations!AS115</f>
        <v>8504400.1236507744</v>
      </c>
      <c r="K115" s="5">
        <f t="shared" si="79"/>
        <v>776833.72094184009</v>
      </c>
      <c r="L115" s="5">
        <f t="shared" si="80"/>
        <v>9281233.8445926141</v>
      </c>
      <c r="M115" s="146">
        <v>1479.5</v>
      </c>
      <c r="N115" s="58">
        <f t="shared" si="81"/>
        <v>6273.223281238671</v>
      </c>
      <c r="O115" s="36">
        <f t="shared" si="82"/>
        <v>5.0578614460018443E-3</v>
      </c>
      <c r="P115" s="211">
        <f>SUM(H115*'Front page'!$H$10)+H115</f>
        <v>6611.825043257857</v>
      </c>
      <c r="Q115" s="211">
        <f t="shared" si="83"/>
        <v>9281233.8445926141</v>
      </c>
      <c r="R115" s="218"/>
      <c r="S115" s="5">
        <f t="shared" si="84"/>
        <v>181517.42459261417</v>
      </c>
      <c r="T115" s="5" t="str">
        <f t="shared" si="85"/>
        <v/>
      </c>
      <c r="U115" s="5">
        <f t="shared" si="86"/>
        <v>181517.42459261417</v>
      </c>
      <c r="V115" s="5">
        <f t="shared" si="87"/>
        <v>0</v>
      </c>
      <c r="W115" s="55">
        <f t="shared" si="88"/>
        <v>1.994759135500776E-2</v>
      </c>
      <c r="X115" s="6">
        <f t="shared" si="89"/>
        <v>9782195.1514999997</v>
      </c>
      <c r="Y115" s="5">
        <f t="shared" si="90"/>
        <v>9281233.8445926141</v>
      </c>
      <c r="Z115" s="57">
        <f t="shared" si="91"/>
        <v>181517.42459261417</v>
      </c>
      <c r="AA115" s="5">
        <f t="shared" si="92"/>
        <v>0</v>
      </c>
      <c r="AB115" s="58">
        <f>SUM(F115*'Front page'!$H$11)+F115</f>
        <v>9281710.748399999</v>
      </c>
      <c r="AC115" s="58">
        <f t="shared" si="93"/>
        <v>9281710.748399999</v>
      </c>
      <c r="AD115" s="58">
        <f t="shared" si="94"/>
        <v>9281710.748399999</v>
      </c>
      <c r="AE115" s="58">
        <f t="shared" si="95"/>
        <v>181994.32839999907</v>
      </c>
      <c r="AF115" s="56">
        <f t="shared" si="96"/>
        <v>1.9999999999999896E-2</v>
      </c>
      <c r="AG115" s="58">
        <f t="shared" si="97"/>
        <v>181994.32839999907</v>
      </c>
      <c r="AH115" s="56">
        <f t="shared" si="98"/>
        <v>1.9999999999999896E-2</v>
      </c>
    </row>
    <row r="116" spans="1:34">
      <c r="A116" t="str">
        <f t="shared" si="75"/>
        <v>432</v>
      </c>
      <c r="B116">
        <f t="shared" si="76"/>
        <v>432</v>
      </c>
      <c r="C116" s="15" t="s">
        <v>125</v>
      </c>
      <c r="D116" s="155">
        <v>1443550.76</v>
      </c>
      <c r="E116" s="155">
        <v>124974.6</v>
      </c>
      <c r="F116" s="155">
        <f t="shared" si="99"/>
        <v>1568525.36</v>
      </c>
      <c r="G116" s="238">
        <v>122.5</v>
      </c>
      <c r="H116" s="239">
        <f t="shared" si="77"/>
        <v>12804.288653061225</v>
      </c>
      <c r="I116" s="213">
        <f t="shared" si="78"/>
        <v>8.9831248224252918E-4</v>
      </c>
      <c r="J116" s="5">
        <f>Calculations!AS116</f>
        <v>1373227.1445950544</v>
      </c>
      <c r="K116" s="5">
        <f t="shared" si="79"/>
        <v>136465.63954619999</v>
      </c>
      <c r="L116" s="5">
        <f t="shared" si="80"/>
        <v>1509692.7841412544</v>
      </c>
      <c r="M116" s="146">
        <v>122.5</v>
      </c>
      <c r="N116" s="58">
        <f t="shared" si="81"/>
        <v>12324.022727683709</v>
      </c>
      <c r="O116" s="36">
        <f t="shared" si="82"/>
        <v>8.2271571388797371E-4</v>
      </c>
      <c r="P116" s="211">
        <f>SUM(H116*'Front page'!$H$10)+H116</f>
        <v>13764.610302040817</v>
      </c>
      <c r="Q116" s="211">
        <f t="shared" si="83"/>
        <v>1509692.7841412544</v>
      </c>
      <c r="R116" s="218"/>
      <c r="S116" s="5">
        <f t="shared" si="84"/>
        <v>-58832.575858745724</v>
      </c>
      <c r="T116" s="5">
        <f t="shared" si="85"/>
        <v>-58832.575858745724</v>
      </c>
      <c r="U116" s="5">
        <f t="shared" si="86"/>
        <v>-58832.575858745724</v>
      </c>
      <c r="V116" s="5">
        <f t="shared" si="87"/>
        <v>0</v>
      </c>
      <c r="W116" s="55">
        <f t="shared" si="88"/>
        <v>-3.7508208256668368E-2</v>
      </c>
      <c r="X116" s="6">
        <f t="shared" si="89"/>
        <v>1686164.7620000001</v>
      </c>
      <c r="Y116" s="5">
        <f t="shared" si="90"/>
        <v>1509692.7841412544</v>
      </c>
      <c r="Z116" s="57">
        <f t="shared" si="91"/>
        <v>-58832.575858745724</v>
      </c>
      <c r="AA116" s="5">
        <f t="shared" si="92"/>
        <v>0</v>
      </c>
      <c r="AB116" s="58">
        <f>SUM(F116*'Front page'!$H$11)+F116</f>
        <v>1599895.8672000002</v>
      </c>
      <c r="AC116" s="58">
        <f t="shared" si="93"/>
        <v>1599895.8672000002</v>
      </c>
      <c r="AD116" s="58">
        <f t="shared" si="94"/>
        <v>1599895.8672000002</v>
      </c>
      <c r="AE116" s="58">
        <f t="shared" si="95"/>
        <v>31370.507200000109</v>
      </c>
      <c r="AF116" s="56">
        <f t="shared" si="96"/>
        <v>2.000000000000007E-2</v>
      </c>
      <c r="AG116" s="58">
        <f t="shared" si="97"/>
        <v>31370.507200000109</v>
      </c>
      <c r="AH116" s="56">
        <f t="shared" si="98"/>
        <v>2.000000000000007E-2</v>
      </c>
    </row>
    <row r="117" spans="1:34">
      <c r="A117" t="str">
        <f t="shared" si="75"/>
        <v>433</v>
      </c>
      <c r="B117">
        <f t="shared" si="76"/>
        <v>433</v>
      </c>
      <c r="C117" s="15" t="s">
        <v>126</v>
      </c>
      <c r="D117" s="155">
        <v>1459804.39</v>
      </c>
      <c r="E117" s="155">
        <v>122391.8</v>
      </c>
      <c r="F117" s="155">
        <f t="shared" si="99"/>
        <v>1582196.19</v>
      </c>
      <c r="G117" s="238">
        <v>105</v>
      </c>
      <c r="H117" s="239">
        <f t="shared" si="77"/>
        <v>15068.535142857143</v>
      </c>
      <c r="I117" s="213">
        <f t="shared" si="78"/>
        <v>9.0614192354121199E-4</v>
      </c>
      <c r="J117" s="5">
        <f>Calculations!AS117</f>
        <v>1290565.5034999016</v>
      </c>
      <c r="K117" s="5">
        <f t="shared" si="79"/>
        <v>133645.35883459999</v>
      </c>
      <c r="L117" s="5">
        <f t="shared" si="80"/>
        <v>1424210.8623345017</v>
      </c>
      <c r="M117" s="146">
        <v>105</v>
      </c>
      <c r="N117" s="58">
        <f t="shared" si="81"/>
        <v>13563.912974614303</v>
      </c>
      <c r="O117" s="36">
        <f t="shared" si="82"/>
        <v>7.7613185188471045E-4</v>
      </c>
      <c r="P117" s="211">
        <f>SUM(H117*'Front page'!$H$10)+H117</f>
        <v>16198.675278571429</v>
      </c>
      <c r="Q117" s="211">
        <f t="shared" si="83"/>
        <v>1424210.8623345017</v>
      </c>
      <c r="R117" s="218"/>
      <c r="S117" s="5">
        <f t="shared" si="84"/>
        <v>-157985.32766549825</v>
      </c>
      <c r="T117" s="5">
        <f t="shared" si="85"/>
        <v>-157985.32766549825</v>
      </c>
      <c r="U117" s="5">
        <f t="shared" si="86"/>
        <v>-157985.32766549825</v>
      </c>
      <c r="V117" s="5">
        <f t="shared" si="87"/>
        <v>0</v>
      </c>
      <c r="W117" s="55">
        <f t="shared" si="88"/>
        <v>-9.9851920175271211E-2</v>
      </c>
      <c r="X117" s="6">
        <f t="shared" si="89"/>
        <v>1700860.9042499999</v>
      </c>
      <c r="Y117" s="5">
        <f t="shared" si="90"/>
        <v>1424210.8623345017</v>
      </c>
      <c r="Z117" s="57">
        <f t="shared" si="91"/>
        <v>-157985.32766549825</v>
      </c>
      <c r="AA117" s="5">
        <f t="shared" si="92"/>
        <v>0</v>
      </c>
      <c r="AB117" s="58">
        <f>SUM(F117*'Front page'!$H$11)+F117</f>
        <v>1613840.1137999999</v>
      </c>
      <c r="AC117" s="58">
        <f t="shared" si="93"/>
        <v>1613840.1137999999</v>
      </c>
      <c r="AD117" s="58">
        <f t="shared" si="94"/>
        <v>1613840.1137999999</v>
      </c>
      <c r="AE117" s="58">
        <f t="shared" si="95"/>
        <v>31643.92379999999</v>
      </c>
      <c r="AF117" s="56">
        <f t="shared" si="96"/>
        <v>1.9999999999999993E-2</v>
      </c>
      <c r="AG117" s="58">
        <f t="shared" si="97"/>
        <v>31643.92379999999</v>
      </c>
      <c r="AH117" s="56">
        <f t="shared" si="98"/>
        <v>1.9999999999999993E-2</v>
      </c>
    </row>
    <row r="118" spans="1:34">
      <c r="A118" s="38" t="str">
        <f t="shared" si="75"/>
        <v>451</v>
      </c>
      <c r="B118" s="38">
        <f t="shared" si="76"/>
        <v>451</v>
      </c>
      <c r="C118" s="154" t="s">
        <v>127</v>
      </c>
      <c r="D118" s="155">
        <v>2608651.04</v>
      </c>
      <c r="E118" s="155">
        <v>363410</v>
      </c>
      <c r="F118" s="155">
        <f t="shared" si="99"/>
        <v>2972061.04</v>
      </c>
      <c r="G118" s="238">
        <v>388.5</v>
      </c>
      <c r="H118" s="239">
        <f t="shared" si="77"/>
        <v>7650.0927670527672</v>
      </c>
      <c r="I118" s="214">
        <f t="shared" si="78"/>
        <v>1.7021334804677385E-3</v>
      </c>
      <c r="J118" s="157">
        <f>Calculations!AS118</f>
        <v>2685567.9793108795</v>
      </c>
      <c r="K118" s="157">
        <f t="shared" si="79"/>
        <v>396824.45926999999</v>
      </c>
      <c r="L118" s="157">
        <f t="shared" si="80"/>
        <v>3082392.4385808795</v>
      </c>
      <c r="M118" s="146">
        <v>388.5</v>
      </c>
      <c r="N118" s="58">
        <f t="shared" si="81"/>
        <v>7934.0860709932549</v>
      </c>
      <c r="O118" s="156">
        <f t="shared" si="82"/>
        <v>1.6797673819660291E-3</v>
      </c>
      <c r="P118" s="211">
        <f>SUM(H118*'Front page'!$H$10)+H118</f>
        <v>8223.8497245817252</v>
      </c>
      <c r="Q118" s="211">
        <f t="shared" si="83"/>
        <v>3082392.4385808795</v>
      </c>
      <c r="R118" s="218"/>
      <c r="S118" s="157">
        <f t="shared" si="84"/>
        <v>110331.39858087944</v>
      </c>
      <c r="T118" s="157" t="str">
        <f t="shared" si="85"/>
        <v/>
      </c>
      <c r="U118" s="5">
        <f t="shared" si="86"/>
        <v>110331.39858087944</v>
      </c>
      <c r="V118" s="5">
        <f t="shared" si="87"/>
        <v>0</v>
      </c>
      <c r="W118" s="158">
        <f t="shared" si="88"/>
        <v>3.7122857537569096E-2</v>
      </c>
      <c r="X118" s="159">
        <f t="shared" si="89"/>
        <v>3194965.6180000002</v>
      </c>
      <c r="Y118" s="157">
        <f t="shared" si="90"/>
        <v>3082392.4385808795</v>
      </c>
      <c r="Z118" s="160">
        <f t="shared" si="91"/>
        <v>110331.39858087944</v>
      </c>
      <c r="AA118" s="5">
        <f t="shared" si="92"/>
        <v>0</v>
      </c>
      <c r="AB118" s="58">
        <f>SUM(F118*'Front page'!$H$11)+F118</f>
        <v>3031502.2607999998</v>
      </c>
      <c r="AC118" s="58">
        <f t="shared" si="93"/>
        <v>3082392.4385808795</v>
      </c>
      <c r="AD118" s="58">
        <f t="shared" si="94"/>
        <v>3082392.4385808795</v>
      </c>
      <c r="AE118" s="58">
        <f t="shared" si="95"/>
        <v>110331.39858087944</v>
      </c>
      <c r="AF118" s="56">
        <f t="shared" si="96"/>
        <v>3.7122857537569096E-2</v>
      </c>
      <c r="AG118" s="58">
        <f t="shared" si="97"/>
        <v>110331.39858087944</v>
      </c>
      <c r="AH118" s="56">
        <f t="shared" si="98"/>
        <v>3.7122857537569096E-2</v>
      </c>
    </row>
    <row r="119" spans="1:34">
      <c r="A119" s="30" t="str">
        <f t="shared" si="75"/>
        <v>452</v>
      </c>
      <c r="B119" s="30">
        <f t="shared" si="76"/>
        <v>452</v>
      </c>
      <c r="C119" s="16" t="s">
        <v>128</v>
      </c>
      <c r="D119" s="155">
        <v>9836793.8499999996</v>
      </c>
      <c r="E119" s="155">
        <v>1742036</v>
      </c>
      <c r="F119" s="155">
        <f t="shared" si="99"/>
        <v>11578829.85</v>
      </c>
      <c r="G119" s="238">
        <v>1872.5</v>
      </c>
      <c r="H119" s="239">
        <f t="shared" si="77"/>
        <v>6183.6207476635509</v>
      </c>
      <c r="I119" s="213">
        <f t="shared" si="78"/>
        <v>6.6313287940829918E-3</v>
      </c>
      <c r="J119" s="5">
        <f>Calculations!AS119</f>
        <v>9120194.0112735201</v>
      </c>
      <c r="K119" s="5">
        <f t="shared" si="79"/>
        <v>1902210.9840919999</v>
      </c>
      <c r="L119" s="5">
        <f t="shared" si="80"/>
        <v>11022404.995365519</v>
      </c>
      <c r="M119" s="146">
        <v>1872.5</v>
      </c>
      <c r="N119" s="58">
        <f t="shared" si="81"/>
        <v>5886.4646170176338</v>
      </c>
      <c r="O119" s="36">
        <f t="shared" si="82"/>
        <v>6.0067226191868944E-3</v>
      </c>
      <c r="P119" s="211">
        <f>SUM(H119*'Front page'!$H$10)+H119</f>
        <v>6647.3923037383174</v>
      </c>
      <c r="Q119" s="211">
        <f t="shared" si="83"/>
        <v>11022404.995365519</v>
      </c>
      <c r="R119" s="218"/>
      <c r="S119" s="5">
        <f t="shared" si="84"/>
        <v>-556424.85463448055</v>
      </c>
      <c r="T119" s="5">
        <f t="shared" si="85"/>
        <v>-556424.85463448055</v>
      </c>
      <c r="U119" s="5">
        <f t="shared" si="86"/>
        <v>-556424.85463448055</v>
      </c>
      <c r="V119" s="5">
        <f t="shared" si="87"/>
        <v>0</v>
      </c>
      <c r="W119" s="55">
        <f t="shared" si="88"/>
        <v>-4.80553615384961E-2</v>
      </c>
      <c r="X119" s="6">
        <f t="shared" si="89"/>
        <v>12447242.088749999</v>
      </c>
      <c r="Y119" s="5">
        <f t="shared" si="90"/>
        <v>11022404.995365519</v>
      </c>
      <c r="Z119" s="57">
        <f t="shared" si="91"/>
        <v>-556424.85463448055</v>
      </c>
      <c r="AA119" s="5">
        <f t="shared" si="92"/>
        <v>0</v>
      </c>
      <c r="AB119" s="58">
        <f>SUM(F119*'Front page'!$H$11)+F119</f>
        <v>11810406.446999999</v>
      </c>
      <c r="AC119" s="58">
        <f t="shared" si="93"/>
        <v>11810406.446999999</v>
      </c>
      <c r="AD119" s="58">
        <f t="shared" si="94"/>
        <v>11810406.446999999</v>
      </c>
      <c r="AE119" s="58">
        <f t="shared" si="95"/>
        <v>231576.59699999914</v>
      </c>
      <c r="AF119" s="56">
        <f t="shared" si="96"/>
        <v>1.9999999999999928E-2</v>
      </c>
      <c r="AG119" s="58">
        <f t="shared" si="97"/>
        <v>231576.59699999914</v>
      </c>
      <c r="AH119" s="56">
        <f t="shared" si="98"/>
        <v>1.9999999999999928E-2</v>
      </c>
    </row>
    <row r="120" spans="1:34">
      <c r="A120" s="30" t="str">
        <f t="shared" si="75"/>
        <v>453</v>
      </c>
      <c r="B120" s="30">
        <f t="shared" si="76"/>
        <v>453</v>
      </c>
      <c r="C120" s="16" t="s">
        <v>129</v>
      </c>
      <c r="D120" s="155">
        <v>3829703.5700000003</v>
      </c>
      <c r="E120" s="155">
        <v>151446.95000000001</v>
      </c>
      <c r="F120" s="155">
        <f t="shared" si="99"/>
        <v>3981150.5200000005</v>
      </c>
      <c r="G120" s="238">
        <v>470</v>
      </c>
      <c r="H120" s="239">
        <f t="shared" si="77"/>
        <v>8470.5330212765966</v>
      </c>
      <c r="I120" s="213">
        <f t="shared" si="78"/>
        <v>2.2800506112329198E-3</v>
      </c>
      <c r="J120" s="5">
        <f>Calculations!AS120</f>
        <v>3090243.4998558061</v>
      </c>
      <c r="K120" s="5">
        <f t="shared" si="79"/>
        <v>165372.04271165002</v>
      </c>
      <c r="L120" s="5">
        <f t="shared" si="80"/>
        <v>3255615.5425674561</v>
      </c>
      <c r="M120" s="146">
        <v>470</v>
      </c>
      <c r="N120" s="58">
        <f t="shared" si="81"/>
        <v>6926.8415799307577</v>
      </c>
      <c r="O120" s="36">
        <f t="shared" si="82"/>
        <v>1.7741663028294362E-3</v>
      </c>
      <c r="P120" s="211">
        <f>SUM(H120*'Front page'!$H$10)+H120</f>
        <v>9105.8229978723411</v>
      </c>
      <c r="Q120" s="211">
        <f t="shared" si="83"/>
        <v>3255615.5425674561</v>
      </c>
      <c r="R120" s="218"/>
      <c r="S120" s="5">
        <f t="shared" si="84"/>
        <v>-725534.97743254434</v>
      </c>
      <c r="T120" s="5">
        <f t="shared" si="85"/>
        <v>-725534.97743254434</v>
      </c>
      <c r="U120" s="5">
        <f t="shared" si="86"/>
        <v>-725534.97743254434</v>
      </c>
      <c r="V120" s="5">
        <f t="shared" si="87"/>
        <v>0</v>
      </c>
      <c r="W120" s="55">
        <f t="shared" si="88"/>
        <v>-0.18224253862989945</v>
      </c>
      <c r="X120" s="6">
        <f t="shared" si="89"/>
        <v>4279736.8090000004</v>
      </c>
      <c r="Y120" s="5">
        <f t="shared" si="90"/>
        <v>3255615.5425674561</v>
      </c>
      <c r="Z120" s="57">
        <f t="shared" si="91"/>
        <v>-725534.97743254434</v>
      </c>
      <c r="AA120" s="5">
        <f t="shared" si="92"/>
        <v>0</v>
      </c>
      <c r="AB120" s="58">
        <f>SUM(F120*'Front page'!$H$11)+F120</f>
        <v>4060773.5304000005</v>
      </c>
      <c r="AC120" s="58">
        <f t="shared" si="93"/>
        <v>4060773.5304000005</v>
      </c>
      <c r="AD120" s="58">
        <f t="shared" si="94"/>
        <v>4060773.5304000005</v>
      </c>
      <c r="AE120" s="58">
        <f t="shared" si="95"/>
        <v>79623.010400000028</v>
      </c>
      <c r="AF120" s="56">
        <f t="shared" si="96"/>
        <v>2.0000000000000004E-2</v>
      </c>
      <c r="AG120" s="58">
        <f t="shared" si="97"/>
        <v>79623.010400000028</v>
      </c>
      <c r="AH120" s="56">
        <f t="shared" si="98"/>
        <v>2.0000000000000004E-2</v>
      </c>
    </row>
    <row r="121" spans="1:34">
      <c r="A121" s="30" t="str">
        <f t="shared" si="75"/>
        <v>454</v>
      </c>
      <c r="B121" s="30">
        <f t="shared" si="76"/>
        <v>454</v>
      </c>
      <c r="C121" s="16" t="s">
        <v>130</v>
      </c>
      <c r="D121" s="155">
        <v>1487500.38</v>
      </c>
      <c r="E121" s="155">
        <v>184994.12</v>
      </c>
      <c r="F121" s="155">
        <f t="shared" si="99"/>
        <v>1672494.5</v>
      </c>
      <c r="G121" s="238">
        <v>252</v>
      </c>
      <c r="H121" s="239">
        <f t="shared" si="77"/>
        <v>6636.8829365079364</v>
      </c>
      <c r="I121" s="213">
        <f t="shared" si="78"/>
        <v>9.578568024121571E-4</v>
      </c>
      <c r="J121" s="5">
        <f>Calculations!AS121</f>
        <v>1545365.9250533294</v>
      </c>
      <c r="K121" s="5">
        <f t="shared" si="79"/>
        <v>202003.77435163999</v>
      </c>
      <c r="L121" s="5">
        <f t="shared" si="80"/>
        <v>1747369.6994049693</v>
      </c>
      <c r="M121" s="146">
        <v>252</v>
      </c>
      <c r="N121" s="58">
        <f t="shared" si="81"/>
        <v>6934.0067436705131</v>
      </c>
      <c r="O121" s="36">
        <f t="shared" si="82"/>
        <v>9.5223910770024934E-4</v>
      </c>
      <c r="P121" s="211">
        <f>SUM(H121*'Front page'!$H$10)+H121</f>
        <v>7134.6491567460316</v>
      </c>
      <c r="Q121" s="211">
        <f t="shared" si="83"/>
        <v>1747369.6994049693</v>
      </c>
      <c r="R121" s="218"/>
      <c r="S121" s="5">
        <f t="shared" si="84"/>
        <v>74875.199404969346</v>
      </c>
      <c r="T121" s="5" t="str">
        <f t="shared" si="85"/>
        <v/>
      </c>
      <c r="U121" s="5">
        <f t="shared" si="86"/>
        <v>74875.199404969346</v>
      </c>
      <c r="V121" s="5">
        <f t="shared" si="87"/>
        <v>0</v>
      </c>
      <c r="W121" s="55">
        <f t="shared" si="88"/>
        <v>4.4768577358532027E-2</v>
      </c>
      <c r="X121" s="6">
        <f t="shared" si="89"/>
        <v>1797931.5874999999</v>
      </c>
      <c r="Y121" s="5">
        <f t="shared" si="90"/>
        <v>1747369.6994049693</v>
      </c>
      <c r="Z121" s="57">
        <f t="shared" si="91"/>
        <v>74875.199404969346</v>
      </c>
      <c r="AA121" s="5">
        <f t="shared" si="92"/>
        <v>0</v>
      </c>
      <c r="AB121" s="58">
        <f>SUM(F121*'Front page'!$H$11)+F121</f>
        <v>1705944.39</v>
      </c>
      <c r="AC121" s="58">
        <f t="shared" si="93"/>
        <v>1747369.6994049693</v>
      </c>
      <c r="AD121" s="58">
        <f t="shared" si="94"/>
        <v>1747369.6994049693</v>
      </c>
      <c r="AE121" s="58">
        <f t="shared" si="95"/>
        <v>74875.199404969346</v>
      </c>
      <c r="AF121" s="56">
        <f t="shared" si="96"/>
        <v>4.4768577358532027E-2</v>
      </c>
      <c r="AG121" s="58">
        <f t="shared" si="97"/>
        <v>74875.199404969346</v>
      </c>
      <c r="AH121" s="56">
        <f t="shared" si="98"/>
        <v>4.4768577358532027E-2</v>
      </c>
    </row>
    <row r="122" spans="1:34">
      <c r="A122" s="30" t="str">
        <f t="shared" si="75"/>
        <v>455</v>
      </c>
      <c r="B122" s="30">
        <f t="shared" si="76"/>
        <v>455</v>
      </c>
      <c r="C122" s="16" t="s">
        <v>131</v>
      </c>
      <c r="D122" s="155">
        <v>4814684.1500000004</v>
      </c>
      <c r="E122" s="155">
        <v>860974.97</v>
      </c>
      <c r="F122" s="155">
        <f t="shared" si="99"/>
        <v>5675659.1200000001</v>
      </c>
      <c r="G122" s="238">
        <v>881.5</v>
      </c>
      <c r="H122" s="239">
        <f t="shared" si="77"/>
        <v>6438.6376857629039</v>
      </c>
      <c r="I122" s="213">
        <f t="shared" si="78"/>
        <v>3.2505151414636028E-3</v>
      </c>
      <c r="J122" s="5">
        <f>Calculations!AS122</f>
        <v>5321036.1529819248</v>
      </c>
      <c r="K122" s="5">
        <f t="shared" si="79"/>
        <v>940139.03556659003</v>
      </c>
      <c r="L122" s="5">
        <f t="shared" si="80"/>
        <v>6261175.1885485146</v>
      </c>
      <c r="M122" s="146">
        <v>881.5</v>
      </c>
      <c r="N122" s="58">
        <f t="shared" si="81"/>
        <v>7102.864649516182</v>
      </c>
      <c r="O122" s="36">
        <f t="shared" si="82"/>
        <v>3.4120632152020609E-3</v>
      </c>
      <c r="P122" s="211">
        <f>SUM(H122*'Front page'!$H$10)+H122</f>
        <v>6921.5355121951216</v>
      </c>
      <c r="Q122" s="211">
        <f t="shared" si="83"/>
        <v>6101333.5539999995</v>
      </c>
      <c r="R122" s="218"/>
      <c r="S122" s="5">
        <f t="shared" si="84"/>
        <v>585516.06854851451</v>
      </c>
      <c r="T122" s="5" t="str">
        <f t="shared" si="85"/>
        <v/>
      </c>
      <c r="U122" s="5">
        <f t="shared" si="86"/>
        <v>425674.43399999943</v>
      </c>
      <c r="V122" s="5">
        <f t="shared" si="87"/>
        <v>-159841.63454851508</v>
      </c>
      <c r="W122" s="55">
        <f t="shared" si="88"/>
        <v>0.10316265585529288</v>
      </c>
      <c r="X122" s="6">
        <f t="shared" si="89"/>
        <v>6101333.5540000005</v>
      </c>
      <c r="Y122" s="5">
        <f t="shared" si="90"/>
        <v>6101333.5540000005</v>
      </c>
      <c r="Z122" s="57">
        <f t="shared" si="91"/>
        <v>425674.43400000036</v>
      </c>
      <c r="AA122" s="5">
        <f t="shared" si="92"/>
        <v>-159841.63454851415</v>
      </c>
      <c r="AB122" s="58">
        <f>SUM(F122*'Front page'!$H$11)+F122</f>
        <v>5789172.3024000004</v>
      </c>
      <c r="AC122" s="58">
        <f t="shared" si="93"/>
        <v>6261175.1885485146</v>
      </c>
      <c r="AD122" s="58">
        <f t="shared" si="94"/>
        <v>6101333.5539999995</v>
      </c>
      <c r="AE122" s="58">
        <f t="shared" si="95"/>
        <v>585516.06854851451</v>
      </c>
      <c r="AF122" s="56">
        <f t="shared" si="96"/>
        <v>0.10316265585529288</v>
      </c>
      <c r="AG122" s="58">
        <f t="shared" si="97"/>
        <v>425674.43399999943</v>
      </c>
      <c r="AH122" s="56">
        <f t="shared" si="98"/>
        <v>7.49999999999999E-2</v>
      </c>
    </row>
    <row r="123" spans="1:34">
      <c r="A123" s="30" t="str">
        <f t="shared" si="75"/>
        <v>456</v>
      </c>
      <c r="B123" s="30">
        <f t="shared" si="76"/>
        <v>456</v>
      </c>
      <c r="C123" s="16" t="s">
        <v>132</v>
      </c>
      <c r="D123" s="155">
        <v>1575647.72</v>
      </c>
      <c r="E123" s="155">
        <v>336936.53</v>
      </c>
      <c r="F123" s="155">
        <f t="shared" si="99"/>
        <v>1912584.25</v>
      </c>
      <c r="G123" s="238">
        <v>263</v>
      </c>
      <c r="H123" s="239">
        <f t="shared" si="77"/>
        <v>7272.1834600760458</v>
      </c>
      <c r="I123" s="213">
        <f t="shared" si="78"/>
        <v>1.0953589587582224E-3</v>
      </c>
      <c r="J123" s="5">
        <f>Calculations!AS123</f>
        <v>1623821.2606206951</v>
      </c>
      <c r="K123" s="5">
        <f t="shared" si="79"/>
        <v>367916.83312391001</v>
      </c>
      <c r="L123" s="5">
        <f t="shared" si="80"/>
        <v>1991738.0937446051</v>
      </c>
      <c r="M123" s="146">
        <v>263</v>
      </c>
      <c r="N123" s="58">
        <f t="shared" si="81"/>
        <v>7573.1486454167498</v>
      </c>
      <c r="O123" s="36">
        <f t="shared" si="82"/>
        <v>1.0854090612912712E-3</v>
      </c>
      <c r="P123" s="211">
        <f>SUM(H123*'Front page'!$H$10)+H123</f>
        <v>7817.5972195817494</v>
      </c>
      <c r="Q123" s="211">
        <f t="shared" si="83"/>
        <v>1991738.0937446051</v>
      </c>
      <c r="R123" s="218"/>
      <c r="S123" s="5">
        <f t="shared" si="84"/>
        <v>79153.843744605081</v>
      </c>
      <c r="T123" s="5" t="str">
        <f t="shared" si="85"/>
        <v/>
      </c>
      <c r="U123" s="5">
        <f t="shared" si="86"/>
        <v>79153.843744605081</v>
      </c>
      <c r="V123" s="5">
        <f t="shared" si="87"/>
        <v>0</v>
      </c>
      <c r="W123" s="55">
        <f t="shared" si="88"/>
        <v>4.1385807576636208E-2</v>
      </c>
      <c r="X123" s="6">
        <f t="shared" si="89"/>
        <v>2056028.0687500001</v>
      </c>
      <c r="Y123" s="5">
        <f t="shared" si="90"/>
        <v>1991738.0937446051</v>
      </c>
      <c r="Z123" s="57">
        <f t="shared" si="91"/>
        <v>79153.843744605081</v>
      </c>
      <c r="AA123" s="5">
        <f t="shared" si="92"/>
        <v>0</v>
      </c>
      <c r="AB123" s="58">
        <f>SUM(F123*'Front page'!$H$11)+F123</f>
        <v>1950835.9350000001</v>
      </c>
      <c r="AC123" s="58">
        <f t="shared" si="93"/>
        <v>1991738.0937446051</v>
      </c>
      <c r="AD123" s="58">
        <f t="shared" si="94"/>
        <v>1991738.0937446051</v>
      </c>
      <c r="AE123" s="58">
        <f t="shared" si="95"/>
        <v>79153.843744605081</v>
      </c>
      <c r="AF123" s="56">
        <f t="shared" si="96"/>
        <v>4.1385807576636208E-2</v>
      </c>
      <c r="AG123" s="58">
        <f t="shared" si="97"/>
        <v>79153.843744605081</v>
      </c>
      <c r="AH123" s="56">
        <f t="shared" si="98"/>
        <v>4.1385807576636208E-2</v>
      </c>
    </row>
    <row r="124" spans="1:34">
      <c r="A124" s="30" t="str">
        <f t="shared" si="75"/>
        <v>457</v>
      </c>
      <c r="B124" s="30">
        <f t="shared" si="76"/>
        <v>457</v>
      </c>
      <c r="C124" s="16" t="s">
        <v>133</v>
      </c>
      <c r="D124" s="155">
        <v>4775691.09</v>
      </c>
      <c r="E124" s="155">
        <v>701423.88</v>
      </c>
      <c r="F124" s="155">
        <f t="shared" si="99"/>
        <v>5477114.9699999997</v>
      </c>
      <c r="G124" s="238">
        <v>978.5</v>
      </c>
      <c r="H124" s="239">
        <f t="shared" si="77"/>
        <v>5597.4603679100665</v>
      </c>
      <c r="I124" s="213">
        <f t="shared" si="78"/>
        <v>3.1368066272313348E-3</v>
      </c>
      <c r="J124" s="5">
        <f>Calculations!AS124</f>
        <v>5274902.0572844818</v>
      </c>
      <c r="K124" s="5">
        <f t="shared" si="79"/>
        <v>765917.70149435999</v>
      </c>
      <c r="L124" s="5">
        <f t="shared" si="80"/>
        <v>6040819.7587788422</v>
      </c>
      <c r="M124" s="146">
        <v>978.5</v>
      </c>
      <c r="N124" s="58">
        <f t="shared" si="81"/>
        <v>6173.5511075920713</v>
      </c>
      <c r="O124" s="36">
        <f t="shared" si="82"/>
        <v>3.2919792639396397E-3</v>
      </c>
      <c r="P124" s="211">
        <f>SUM(H124*'Front page'!$H$10)+H124</f>
        <v>6017.2698955033211</v>
      </c>
      <c r="Q124" s="211">
        <f t="shared" si="83"/>
        <v>5887898.5927499998</v>
      </c>
      <c r="R124" s="218"/>
      <c r="S124" s="5">
        <f t="shared" si="84"/>
        <v>563704.78877884243</v>
      </c>
      <c r="T124" s="5" t="str">
        <f t="shared" si="85"/>
        <v/>
      </c>
      <c r="U124" s="5">
        <f t="shared" si="86"/>
        <v>410783.6227500001</v>
      </c>
      <c r="V124" s="5">
        <f t="shared" si="87"/>
        <v>-152921.16602884233</v>
      </c>
      <c r="W124" s="55">
        <f t="shared" si="88"/>
        <v>0.10292002119116415</v>
      </c>
      <c r="X124" s="6">
        <f t="shared" si="89"/>
        <v>5887898.5927499998</v>
      </c>
      <c r="Y124" s="5">
        <f t="shared" si="90"/>
        <v>5887898.5927499998</v>
      </c>
      <c r="Z124" s="57">
        <f t="shared" si="91"/>
        <v>410783.6227500001</v>
      </c>
      <c r="AA124" s="5">
        <f t="shared" si="92"/>
        <v>-152921.16602884233</v>
      </c>
      <c r="AB124" s="58">
        <f>SUM(F124*'Front page'!$H$11)+F124</f>
        <v>5586657.2693999996</v>
      </c>
      <c r="AC124" s="58">
        <f t="shared" si="93"/>
        <v>6040819.7587788422</v>
      </c>
      <c r="AD124" s="58">
        <f t="shared" si="94"/>
        <v>5887898.5927499998</v>
      </c>
      <c r="AE124" s="58">
        <f t="shared" si="95"/>
        <v>563704.78877884243</v>
      </c>
      <c r="AF124" s="56">
        <f t="shared" si="96"/>
        <v>0.10292002119116415</v>
      </c>
      <c r="AG124" s="58">
        <f t="shared" si="97"/>
        <v>410783.6227500001</v>
      </c>
      <c r="AH124" s="56">
        <f t="shared" si="98"/>
        <v>7.5000000000000025E-2</v>
      </c>
    </row>
    <row r="125" spans="1:34">
      <c r="A125" s="30" t="str">
        <f t="shared" si="75"/>
        <v>458</v>
      </c>
      <c r="B125" s="30">
        <f t="shared" si="76"/>
        <v>458</v>
      </c>
      <c r="C125" s="16" t="s">
        <v>134</v>
      </c>
      <c r="D125" s="155">
        <v>2702487.6300000004</v>
      </c>
      <c r="E125" s="155">
        <v>433169.64999999997</v>
      </c>
      <c r="F125" s="155">
        <f t="shared" si="99"/>
        <v>3135657.2800000003</v>
      </c>
      <c r="G125" s="238">
        <v>401.5</v>
      </c>
      <c r="H125" s="239">
        <f t="shared" si="77"/>
        <v>7809.8562391033629</v>
      </c>
      <c r="I125" s="213">
        <f t="shared" si="78"/>
        <v>1.7958269253986797E-3</v>
      </c>
      <c r="J125" s="5">
        <f>Calculations!AS125</f>
        <v>2732502.3689274583</v>
      </c>
      <c r="K125" s="5">
        <f t="shared" si="79"/>
        <v>472998.29980854999</v>
      </c>
      <c r="L125" s="5">
        <f t="shared" si="80"/>
        <v>3205500.6687360085</v>
      </c>
      <c r="M125" s="146">
        <v>401.5</v>
      </c>
      <c r="N125" s="58">
        <f t="shared" si="81"/>
        <v>7983.8123754321505</v>
      </c>
      <c r="O125" s="36">
        <f t="shared" si="82"/>
        <v>1.7468559158197387E-3</v>
      </c>
      <c r="P125" s="211">
        <f>SUM(H125*'Front page'!$H$10)+H125</f>
        <v>8395.5954570361155</v>
      </c>
      <c r="Q125" s="211">
        <f t="shared" si="83"/>
        <v>3205500.6687360085</v>
      </c>
      <c r="R125" s="218"/>
      <c r="S125" s="5">
        <f t="shared" si="84"/>
        <v>69843.388736008201</v>
      </c>
      <c r="T125" s="5" t="str">
        <f t="shared" si="85"/>
        <v/>
      </c>
      <c r="U125" s="5">
        <f t="shared" si="86"/>
        <v>69843.388736008201</v>
      </c>
      <c r="V125" s="5">
        <f t="shared" si="87"/>
        <v>0</v>
      </c>
      <c r="W125" s="55">
        <f t="shared" si="88"/>
        <v>2.2273922976687108E-2</v>
      </c>
      <c r="X125" s="6">
        <f t="shared" si="89"/>
        <v>3370831.5760000004</v>
      </c>
      <c r="Y125" s="5">
        <f t="shared" si="90"/>
        <v>3205500.6687360085</v>
      </c>
      <c r="Z125" s="57">
        <f t="shared" si="91"/>
        <v>69843.388736008201</v>
      </c>
      <c r="AA125" s="5">
        <f t="shared" si="92"/>
        <v>0</v>
      </c>
      <c r="AB125" s="58">
        <f>SUM(F125*'Front page'!$H$11)+F125</f>
        <v>3198370.4256000002</v>
      </c>
      <c r="AC125" s="58">
        <f t="shared" si="93"/>
        <v>3205500.6687360085</v>
      </c>
      <c r="AD125" s="58">
        <f t="shared" si="94"/>
        <v>3205500.6687360085</v>
      </c>
      <c r="AE125" s="58">
        <f t="shared" si="95"/>
        <v>69843.388736008201</v>
      </c>
      <c r="AF125" s="56">
        <f t="shared" si="96"/>
        <v>2.2273922976687108E-2</v>
      </c>
      <c r="AG125" s="58">
        <f t="shared" si="97"/>
        <v>69843.388736008201</v>
      </c>
      <c r="AH125" s="56">
        <f t="shared" si="98"/>
        <v>2.2273922976687108E-2</v>
      </c>
    </row>
    <row r="126" spans="1:34">
      <c r="A126" s="30" t="str">
        <f t="shared" si="75"/>
        <v>460</v>
      </c>
      <c r="B126" s="30">
        <f t="shared" si="76"/>
        <v>460</v>
      </c>
      <c r="C126" s="16" t="s">
        <v>135</v>
      </c>
      <c r="D126" s="155">
        <v>2857944.61</v>
      </c>
      <c r="E126" s="155">
        <v>348733.91000000003</v>
      </c>
      <c r="F126" s="155">
        <f t="shared" si="99"/>
        <v>3206678.52</v>
      </c>
      <c r="G126" s="238">
        <v>527</v>
      </c>
      <c r="H126" s="239">
        <f t="shared" si="77"/>
        <v>6084.7789753320685</v>
      </c>
      <c r="I126" s="213">
        <f t="shared" si="78"/>
        <v>1.8365016049565175E-3</v>
      </c>
      <c r="J126" s="5">
        <f>Calculations!AS126</f>
        <v>3000411.2023877171</v>
      </c>
      <c r="K126" s="5">
        <f t="shared" si="79"/>
        <v>380798.94682277006</v>
      </c>
      <c r="L126" s="5">
        <f t="shared" si="80"/>
        <v>3381210.149210487</v>
      </c>
      <c r="M126" s="146">
        <v>527</v>
      </c>
      <c r="N126" s="58">
        <f t="shared" si="81"/>
        <v>6415.9585374013041</v>
      </c>
      <c r="O126" s="36">
        <f t="shared" si="82"/>
        <v>1.8426098017652649E-3</v>
      </c>
      <c r="P126" s="211">
        <f>SUM(H126*'Front page'!$H$10)+H126</f>
        <v>6541.1373984819738</v>
      </c>
      <c r="Q126" s="211">
        <f t="shared" si="83"/>
        <v>3381210.149210487</v>
      </c>
      <c r="R126" s="218"/>
      <c r="S126" s="5">
        <f t="shared" si="84"/>
        <v>174531.62921048701</v>
      </c>
      <c r="T126" s="5" t="str">
        <f t="shared" si="85"/>
        <v/>
      </c>
      <c r="U126" s="5">
        <f t="shared" si="86"/>
        <v>174531.62921048701</v>
      </c>
      <c r="V126" s="5">
        <f t="shared" si="87"/>
        <v>0</v>
      </c>
      <c r="W126" s="55">
        <f t="shared" si="88"/>
        <v>5.4427541807492139E-2</v>
      </c>
      <c r="X126" s="6">
        <f t="shared" si="89"/>
        <v>3447179.409</v>
      </c>
      <c r="Y126" s="5">
        <f t="shared" si="90"/>
        <v>3381210.149210487</v>
      </c>
      <c r="Z126" s="57">
        <f t="shared" si="91"/>
        <v>174531.62921048701</v>
      </c>
      <c r="AA126" s="5">
        <f t="shared" si="92"/>
        <v>0</v>
      </c>
      <c r="AB126" s="58">
        <f>SUM(F126*'Front page'!$H$11)+F126</f>
        <v>3270812.0904000001</v>
      </c>
      <c r="AC126" s="58">
        <f t="shared" si="93"/>
        <v>3381210.149210487</v>
      </c>
      <c r="AD126" s="58">
        <f t="shared" si="94"/>
        <v>3381210.149210487</v>
      </c>
      <c r="AE126" s="58">
        <f t="shared" si="95"/>
        <v>174531.62921048701</v>
      </c>
      <c r="AF126" s="56">
        <f t="shared" si="96"/>
        <v>5.4427541807492139E-2</v>
      </c>
      <c r="AG126" s="58">
        <f t="shared" si="97"/>
        <v>174531.62921048701</v>
      </c>
      <c r="AH126" s="56">
        <f t="shared" si="98"/>
        <v>5.4427541807492139E-2</v>
      </c>
    </row>
    <row r="127" spans="1:34">
      <c r="A127" s="30" t="str">
        <f t="shared" si="75"/>
        <v>461</v>
      </c>
      <c r="B127" s="30">
        <f t="shared" si="76"/>
        <v>461</v>
      </c>
      <c r="C127" s="16" t="s">
        <v>136</v>
      </c>
      <c r="D127" s="155">
        <v>2429361.73</v>
      </c>
      <c r="E127" s="155">
        <v>367651.91000000003</v>
      </c>
      <c r="F127" s="155">
        <f t="shared" si="99"/>
        <v>2797013.64</v>
      </c>
      <c r="G127" s="238">
        <v>376</v>
      </c>
      <c r="H127" s="239">
        <f t="shared" si="77"/>
        <v>7438.8660638297879</v>
      </c>
      <c r="I127" s="213">
        <f t="shared" si="78"/>
        <v>1.601881824731614E-3</v>
      </c>
      <c r="J127" s="5">
        <f>Calculations!AS127</f>
        <v>2386263.4798599319</v>
      </c>
      <c r="K127" s="5">
        <f t="shared" si="79"/>
        <v>401456.40016877005</v>
      </c>
      <c r="L127" s="5">
        <f t="shared" si="80"/>
        <v>2787719.8800287019</v>
      </c>
      <c r="M127" s="146">
        <v>376</v>
      </c>
      <c r="N127" s="58">
        <f t="shared" si="81"/>
        <v>7414.1486170976113</v>
      </c>
      <c r="O127" s="36">
        <f t="shared" si="82"/>
        <v>1.5191838864899274E-3</v>
      </c>
      <c r="P127" s="211">
        <f>SUM(H127*'Front page'!$H$10)+H127</f>
        <v>7996.7810186170218</v>
      </c>
      <c r="Q127" s="211">
        <f t="shared" si="83"/>
        <v>2787719.8800287019</v>
      </c>
      <c r="R127" s="218"/>
      <c r="S127" s="5">
        <f t="shared" si="84"/>
        <v>-9293.7599712982774</v>
      </c>
      <c r="T127" s="5">
        <f t="shared" si="85"/>
        <v>-9293.7599712982774</v>
      </c>
      <c r="U127" s="5">
        <f t="shared" si="86"/>
        <v>-9293.7599712982774</v>
      </c>
      <c r="V127" s="5">
        <f t="shared" si="87"/>
        <v>0</v>
      </c>
      <c r="W127" s="55">
        <f t="shared" si="88"/>
        <v>-3.3227438859748559E-3</v>
      </c>
      <c r="X127" s="6">
        <f t="shared" si="89"/>
        <v>3006789.6630000002</v>
      </c>
      <c r="Y127" s="5">
        <f t="shared" si="90"/>
        <v>2787719.8800287019</v>
      </c>
      <c r="Z127" s="57">
        <f t="shared" si="91"/>
        <v>-9293.7599712982774</v>
      </c>
      <c r="AA127" s="5">
        <f t="shared" si="92"/>
        <v>0</v>
      </c>
      <c r="AB127" s="58">
        <f>SUM(F127*'Front page'!$H$11)+F127</f>
        <v>2852953.9128</v>
      </c>
      <c r="AC127" s="58">
        <f t="shared" si="93"/>
        <v>2852953.9128</v>
      </c>
      <c r="AD127" s="58">
        <f t="shared" si="94"/>
        <v>2852953.9128</v>
      </c>
      <c r="AE127" s="58">
        <f t="shared" si="95"/>
        <v>55940.272799999919</v>
      </c>
      <c r="AF127" s="56">
        <f t="shared" si="96"/>
        <v>1.9999999999999969E-2</v>
      </c>
      <c r="AG127" s="58">
        <f t="shared" si="97"/>
        <v>55940.272799999919</v>
      </c>
      <c r="AH127" s="56">
        <f t="shared" si="98"/>
        <v>1.9999999999999969E-2</v>
      </c>
    </row>
    <row r="128" spans="1:34">
      <c r="A128" s="30" t="str">
        <f t="shared" si="75"/>
        <v>462</v>
      </c>
      <c r="B128" s="30">
        <f t="shared" si="76"/>
        <v>462</v>
      </c>
      <c r="C128" s="16" t="s">
        <v>137</v>
      </c>
      <c r="D128" s="155">
        <v>3860287.49</v>
      </c>
      <c r="E128" s="155">
        <v>646884.87</v>
      </c>
      <c r="F128" s="155">
        <f t="shared" si="99"/>
        <v>4507172.3600000003</v>
      </c>
      <c r="G128" s="238">
        <v>682.5</v>
      </c>
      <c r="H128" s="239">
        <f t="shared" si="77"/>
        <v>6603.9155457875459</v>
      </c>
      <c r="I128" s="213">
        <f t="shared" si="78"/>
        <v>2.581309358368626E-3</v>
      </c>
      <c r="J128" s="5">
        <f>Calculations!AS128</f>
        <v>3914031.6320914766</v>
      </c>
      <c r="K128" s="5">
        <f t="shared" si="79"/>
        <v>706363.99314189004</v>
      </c>
      <c r="L128" s="5">
        <f t="shared" si="80"/>
        <v>4620395.6252333671</v>
      </c>
      <c r="M128" s="146">
        <v>682.5</v>
      </c>
      <c r="N128" s="58">
        <f t="shared" si="81"/>
        <v>6769.8104399023696</v>
      </c>
      <c r="O128" s="36">
        <f t="shared" si="82"/>
        <v>2.5179110115578812E-3</v>
      </c>
      <c r="P128" s="211">
        <f>SUM(H128*'Front page'!$H$10)+H128</f>
        <v>7099.2092117216116</v>
      </c>
      <c r="Q128" s="211">
        <f t="shared" si="83"/>
        <v>4620395.6252333671</v>
      </c>
      <c r="R128" s="218"/>
      <c r="S128" s="5">
        <f t="shared" si="84"/>
        <v>113223.26523336675</v>
      </c>
      <c r="T128" s="5" t="str">
        <f t="shared" si="85"/>
        <v/>
      </c>
      <c r="U128" s="5">
        <f t="shared" si="86"/>
        <v>113223.26523336675</v>
      </c>
      <c r="V128" s="5">
        <f t="shared" si="87"/>
        <v>0</v>
      </c>
      <c r="W128" s="55">
        <f t="shared" si="88"/>
        <v>2.5120686805366978E-2</v>
      </c>
      <c r="X128" s="6">
        <f t="shared" si="89"/>
        <v>4845210.2870000005</v>
      </c>
      <c r="Y128" s="5">
        <f t="shared" si="90"/>
        <v>4620395.6252333671</v>
      </c>
      <c r="Z128" s="57">
        <f t="shared" si="91"/>
        <v>113223.26523336675</v>
      </c>
      <c r="AA128" s="5">
        <f t="shared" si="92"/>
        <v>0</v>
      </c>
      <c r="AB128" s="58">
        <f>SUM(F128*'Front page'!$H$11)+F128</f>
        <v>4597315.8072000006</v>
      </c>
      <c r="AC128" s="58">
        <f t="shared" si="93"/>
        <v>4620395.6252333671</v>
      </c>
      <c r="AD128" s="58">
        <f t="shared" si="94"/>
        <v>4620395.6252333671</v>
      </c>
      <c r="AE128" s="58">
        <f t="shared" si="95"/>
        <v>113223.26523336675</v>
      </c>
      <c r="AF128" s="56">
        <f t="shared" si="96"/>
        <v>2.5120686805366978E-2</v>
      </c>
      <c r="AG128" s="58">
        <f t="shared" si="97"/>
        <v>113223.26523336675</v>
      </c>
      <c r="AH128" s="56">
        <f t="shared" si="98"/>
        <v>2.5120686805366978E-2</v>
      </c>
    </row>
    <row r="129" spans="1:34">
      <c r="A129" s="30" t="str">
        <f t="shared" si="75"/>
        <v>463</v>
      </c>
      <c r="B129" s="30">
        <f t="shared" si="76"/>
        <v>463</v>
      </c>
      <c r="C129" s="16" t="s">
        <v>138</v>
      </c>
      <c r="D129" s="155">
        <v>4017273.55</v>
      </c>
      <c r="E129" s="155">
        <v>678206.81</v>
      </c>
      <c r="F129" s="155">
        <f t="shared" si="99"/>
        <v>4695480.3599999994</v>
      </c>
      <c r="G129" s="238">
        <v>672.5</v>
      </c>
      <c r="H129" s="239">
        <f t="shared" si="77"/>
        <v>6982.1269293680289</v>
      </c>
      <c r="I129" s="213">
        <f t="shared" si="78"/>
        <v>2.689155511972496E-3</v>
      </c>
      <c r="J129" s="5">
        <f>Calculations!AS129</f>
        <v>4120086.4654760044</v>
      </c>
      <c r="K129" s="5">
        <f t="shared" si="79"/>
        <v>740565.89155907009</v>
      </c>
      <c r="L129" s="5">
        <f t="shared" si="80"/>
        <v>4860652.3570350744</v>
      </c>
      <c r="M129" s="146">
        <v>672.5</v>
      </c>
      <c r="N129" s="58">
        <f t="shared" si="81"/>
        <v>7227.7358468923039</v>
      </c>
      <c r="O129" s="36">
        <f t="shared" si="82"/>
        <v>2.6488402911417856E-3</v>
      </c>
      <c r="P129" s="211">
        <f>SUM(H129*'Front page'!$H$10)+H129</f>
        <v>7505.7864490706306</v>
      </c>
      <c r="Q129" s="211">
        <f t="shared" si="83"/>
        <v>4860652.3570350744</v>
      </c>
      <c r="R129" s="218"/>
      <c r="S129" s="5">
        <f t="shared" si="84"/>
        <v>165171.99703507498</v>
      </c>
      <c r="T129" s="5" t="str">
        <f t="shared" si="85"/>
        <v/>
      </c>
      <c r="U129" s="5">
        <f t="shared" si="86"/>
        <v>165171.99703507498</v>
      </c>
      <c r="V129" s="5">
        <f t="shared" si="87"/>
        <v>0</v>
      </c>
      <c r="W129" s="55">
        <f t="shared" si="88"/>
        <v>3.5176805006394488E-2</v>
      </c>
      <c r="X129" s="6">
        <f t="shared" si="89"/>
        <v>5047641.3869999992</v>
      </c>
      <c r="Y129" s="5">
        <f t="shared" si="90"/>
        <v>4860652.3570350744</v>
      </c>
      <c r="Z129" s="57">
        <f t="shared" si="91"/>
        <v>165171.99703507498</v>
      </c>
      <c r="AA129" s="5">
        <f t="shared" si="92"/>
        <v>0</v>
      </c>
      <c r="AB129" s="58">
        <f>SUM(F129*'Front page'!$H$11)+F129</f>
        <v>4789389.9671999998</v>
      </c>
      <c r="AC129" s="58">
        <f t="shared" si="93"/>
        <v>4860652.3570350744</v>
      </c>
      <c r="AD129" s="58">
        <f t="shared" si="94"/>
        <v>4860652.3570350744</v>
      </c>
      <c r="AE129" s="58">
        <f t="shared" si="95"/>
        <v>165171.99703507498</v>
      </c>
      <c r="AF129" s="56">
        <f t="shared" si="96"/>
        <v>3.5176805006394488E-2</v>
      </c>
      <c r="AG129" s="58">
        <f t="shared" si="97"/>
        <v>165171.99703507498</v>
      </c>
      <c r="AH129" s="56">
        <f t="shared" si="98"/>
        <v>3.5176805006394488E-2</v>
      </c>
    </row>
    <row r="130" spans="1:34">
      <c r="A130" s="30" t="str">
        <f t="shared" si="75"/>
        <v>464</v>
      </c>
      <c r="B130" s="30">
        <f t="shared" si="76"/>
        <v>464</v>
      </c>
      <c r="C130" s="16" t="s">
        <v>139</v>
      </c>
      <c r="D130" s="155">
        <v>2203201.39</v>
      </c>
      <c r="E130" s="155">
        <v>462208.4</v>
      </c>
      <c r="F130" s="155">
        <f t="shared" si="99"/>
        <v>2665409.79</v>
      </c>
      <c r="G130" s="238">
        <v>426</v>
      </c>
      <c r="H130" s="239">
        <f t="shared" si="77"/>
        <v>6256.8304929577462</v>
      </c>
      <c r="I130" s="213">
        <f t="shared" si="78"/>
        <v>1.526510788865051E-3</v>
      </c>
      <c r="J130" s="5">
        <f>Calculations!AS130</f>
        <v>2733709.1028228821</v>
      </c>
      <c r="K130" s="5">
        <f t="shared" si="79"/>
        <v>504707.07575480005</v>
      </c>
      <c r="L130" s="5">
        <f t="shared" si="80"/>
        <v>3238416.178577682</v>
      </c>
      <c r="M130" s="146">
        <v>426</v>
      </c>
      <c r="N130" s="58">
        <f t="shared" si="81"/>
        <v>7601.9159121541834</v>
      </c>
      <c r="O130" s="36">
        <f t="shared" si="82"/>
        <v>1.7647934110915221E-3</v>
      </c>
      <c r="P130" s="211">
        <f>SUM(H130*'Front page'!$H$10)+H130</f>
        <v>6726.0927799295769</v>
      </c>
      <c r="Q130" s="211">
        <f t="shared" si="83"/>
        <v>2865315.5242499998</v>
      </c>
      <c r="R130" s="218"/>
      <c r="S130" s="5">
        <f t="shared" si="84"/>
        <v>573006.38857768197</v>
      </c>
      <c r="T130" s="5" t="str">
        <f t="shared" si="85"/>
        <v/>
      </c>
      <c r="U130" s="5">
        <f t="shared" si="86"/>
        <v>199905.73424999975</v>
      </c>
      <c r="V130" s="5">
        <f t="shared" si="87"/>
        <v>-373100.65432768222</v>
      </c>
      <c r="W130" s="55">
        <f t="shared" si="88"/>
        <v>0.21497872136865001</v>
      </c>
      <c r="X130" s="6">
        <f t="shared" si="89"/>
        <v>2865315.5242500002</v>
      </c>
      <c r="Y130" s="5">
        <f t="shared" si="90"/>
        <v>2865315.5242500002</v>
      </c>
      <c r="Z130" s="57">
        <f t="shared" si="91"/>
        <v>199905.73425000021</v>
      </c>
      <c r="AA130" s="5">
        <f t="shared" si="92"/>
        <v>-373100.65432768175</v>
      </c>
      <c r="AB130" s="58">
        <f>SUM(F130*'Front page'!$H$11)+F130</f>
        <v>2718717.9857999999</v>
      </c>
      <c r="AC130" s="58">
        <f t="shared" si="93"/>
        <v>3238416.178577682</v>
      </c>
      <c r="AD130" s="58">
        <f t="shared" si="94"/>
        <v>2865315.5242499998</v>
      </c>
      <c r="AE130" s="58">
        <f t="shared" si="95"/>
        <v>573006.38857768197</v>
      </c>
      <c r="AF130" s="56">
        <f t="shared" si="96"/>
        <v>0.21497872136865001</v>
      </c>
      <c r="AG130" s="58">
        <f t="shared" si="97"/>
        <v>199905.73424999975</v>
      </c>
      <c r="AH130" s="56">
        <f t="shared" si="98"/>
        <v>7.49999999999999E-2</v>
      </c>
    </row>
    <row r="131" spans="1:34">
      <c r="A131" s="30" t="str">
        <f t="shared" ref="A131:A160" si="100">RIGHT(C131,3)</f>
        <v>465</v>
      </c>
      <c r="B131" s="30">
        <f t="shared" ref="B131:B162" si="101">A131*1</f>
        <v>465</v>
      </c>
      <c r="C131" s="16" t="s">
        <v>140</v>
      </c>
      <c r="D131" s="155">
        <v>1459842</v>
      </c>
      <c r="E131" s="155">
        <v>327657</v>
      </c>
      <c r="F131" s="155">
        <f t="shared" si="99"/>
        <v>1787499</v>
      </c>
      <c r="G131" s="238">
        <v>217</v>
      </c>
      <c r="H131" s="239">
        <f t="shared" ref="H131:H162" si="102">SUM(F131/G131)</f>
        <v>8237.322580645161</v>
      </c>
      <c r="I131" s="213">
        <f t="shared" ref="I131:I160" si="103">F131/$F$177</f>
        <v>1.023721199953081E-3</v>
      </c>
      <c r="J131" s="5">
        <f>Calculations!AS131</f>
        <v>1630152.3004386141</v>
      </c>
      <c r="K131" s="5">
        <f t="shared" ref="K131:K162" si="104">E131*1.091947</f>
        <v>357784.078179</v>
      </c>
      <c r="L131" s="5">
        <f t="shared" ref="L131:L162" si="105">J131+K131</f>
        <v>1987936.378617614</v>
      </c>
      <c r="M131" s="146">
        <v>217</v>
      </c>
      <c r="N131" s="58">
        <f t="shared" ref="N131:N162" si="106">SUM(L131/M131)</f>
        <v>9160.9971364867015</v>
      </c>
      <c r="O131" s="36">
        <f t="shared" ref="O131:O162" si="107">L131/$L$177</f>
        <v>1.0833372948977659E-3</v>
      </c>
      <c r="P131" s="211">
        <f>SUM(H131*'Front page'!$H$10)+H131</f>
        <v>8855.1217741935488</v>
      </c>
      <c r="Q131" s="211">
        <f t="shared" ref="Q131:Q162" si="108">MIN(N131,P131)*M131</f>
        <v>1921561.425</v>
      </c>
      <c r="R131" s="218"/>
      <c r="S131" s="5">
        <f t="shared" ref="S131:S162" si="109">L131-F131</f>
        <v>200437.37861761404</v>
      </c>
      <c r="T131" s="5" t="str">
        <f t="shared" ref="T131:T162" si="110">IF(S131&lt;0,S131,"")</f>
        <v/>
      </c>
      <c r="U131" s="5">
        <f t="shared" ref="U131:U162" si="111">SUM(Q131-F131)</f>
        <v>134062.42500000005</v>
      </c>
      <c r="V131" s="5">
        <f t="shared" ref="V131:V162" si="112">SUM(Q131-L131)</f>
        <v>-66374.953617613995</v>
      </c>
      <c r="W131" s="55">
        <f t="shared" ref="W131:W162" si="113">SUM(S131/F131)</f>
        <v>0.11213286195830825</v>
      </c>
      <c r="X131" s="6">
        <f t="shared" ref="X131:X162" si="114">SUM(F131*$X$1)+F131</f>
        <v>1921561.425</v>
      </c>
      <c r="Y131" s="5">
        <f t="shared" ref="Y131:Y162" si="115">MIN(L131,X131)</f>
        <v>1921561.425</v>
      </c>
      <c r="Z131" s="57">
        <f t="shared" ref="Z131:Z162" si="116">SUM(Y131-F131)</f>
        <v>134062.42500000005</v>
      </c>
      <c r="AA131" s="5">
        <f t="shared" ref="AA131:AA162" si="117">SUM(Y131-L131)</f>
        <v>-66374.953617613995</v>
      </c>
      <c r="AB131" s="58">
        <f>SUM(F131*'Front page'!$H$11)+F131</f>
        <v>1823248.98</v>
      </c>
      <c r="AC131" s="58">
        <f t="shared" ref="AC131:AC162" si="118">MAX(AB131,L131)</f>
        <v>1987936.378617614</v>
      </c>
      <c r="AD131" s="58">
        <f t="shared" ref="AD131:AD162" si="119">MAX(Q131,AB131)</f>
        <v>1921561.425</v>
      </c>
      <c r="AE131" s="58">
        <f t="shared" ref="AE131:AE162" si="120">SUM(AC131-F131)</f>
        <v>200437.37861761404</v>
      </c>
      <c r="AF131" s="56">
        <f t="shared" ref="AF131:AF162" si="121">SUM(AE131/F131)</f>
        <v>0.11213286195830825</v>
      </c>
      <c r="AG131" s="58">
        <f t="shared" ref="AG131:AG162" si="122">SUM(AD131-F131)</f>
        <v>134062.42500000005</v>
      </c>
      <c r="AH131" s="56">
        <f t="shared" ref="AH131:AH162" si="123">SUM(AG131/F131)</f>
        <v>7.5000000000000025E-2</v>
      </c>
    </row>
    <row r="132" spans="1:34">
      <c r="A132" s="30" t="str">
        <f t="shared" si="100"/>
        <v>466</v>
      </c>
      <c r="B132" s="30">
        <f t="shared" si="101"/>
        <v>466</v>
      </c>
      <c r="C132" s="16" t="s">
        <v>141</v>
      </c>
      <c r="D132" s="155">
        <v>2872685.86</v>
      </c>
      <c r="E132" s="155">
        <v>156561.57</v>
      </c>
      <c r="F132" s="155">
        <f t="shared" si="99"/>
        <v>3029247.4299999997</v>
      </c>
      <c r="G132" s="238">
        <v>486</v>
      </c>
      <c r="H132" s="239">
        <f t="shared" si="102"/>
        <v>6233.0194032921809</v>
      </c>
      <c r="I132" s="213">
        <f t="shared" si="103"/>
        <v>1.7348847825897451E-3</v>
      </c>
      <c r="J132" s="5">
        <f>Calculations!AS132</f>
        <v>3347923.5397632159</v>
      </c>
      <c r="K132" s="5">
        <f t="shared" si="104"/>
        <v>170956.93667679001</v>
      </c>
      <c r="L132" s="5">
        <f t="shared" si="105"/>
        <v>3518880.4764400059</v>
      </c>
      <c r="M132" s="146">
        <v>486</v>
      </c>
      <c r="N132" s="58">
        <f t="shared" si="106"/>
        <v>7240.4948074897238</v>
      </c>
      <c r="O132" s="36">
        <f t="shared" si="107"/>
        <v>1.9176340336736471E-3</v>
      </c>
      <c r="P132" s="211">
        <f>SUM(H132*'Front page'!$H$10)+H132</f>
        <v>6700.4958585390941</v>
      </c>
      <c r="Q132" s="211">
        <f t="shared" si="108"/>
        <v>3256440.9872499998</v>
      </c>
      <c r="R132" s="218"/>
      <c r="S132" s="5">
        <f t="shared" si="109"/>
        <v>489633.04644000623</v>
      </c>
      <c r="T132" s="5" t="str">
        <f t="shared" si="110"/>
        <v/>
      </c>
      <c r="U132" s="5">
        <f t="shared" si="111"/>
        <v>227193.55725000007</v>
      </c>
      <c r="V132" s="5">
        <f t="shared" si="112"/>
        <v>-262439.48919000616</v>
      </c>
      <c r="W132" s="55">
        <f t="shared" si="113"/>
        <v>0.16163521064372291</v>
      </c>
      <c r="X132" s="6">
        <f t="shared" si="114"/>
        <v>3256440.9872499998</v>
      </c>
      <c r="Y132" s="5">
        <f t="shared" si="115"/>
        <v>3256440.9872499998</v>
      </c>
      <c r="Z132" s="57">
        <f t="shared" si="116"/>
        <v>227193.55725000007</v>
      </c>
      <c r="AA132" s="5">
        <f t="shared" si="117"/>
        <v>-262439.48919000616</v>
      </c>
      <c r="AB132" s="58">
        <f>SUM(F132*'Front page'!$H$11)+F132</f>
        <v>3089832.3785999995</v>
      </c>
      <c r="AC132" s="58">
        <f t="shared" si="118"/>
        <v>3518880.4764400059</v>
      </c>
      <c r="AD132" s="58">
        <f t="shared" si="119"/>
        <v>3256440.9872499998</v>
      </c>
      <c r="AE132" s="58">
        <f t="shared" si="120"/>
        <v>489633.04644000623</v>
      </c>
      <c r="AF132" s="56">
        <f t="shared" si="121"/>
        <v>0.16163521064372291</v>
      </c>
      <c r="AG132" s="58">
        <f t="shared" si="122"/>
        <v>227193.55725000007</v>
      </c>
      <c r="AH132" s="56">
        <f t="shared" si="123"/>
        <v>7.5000000000000025E-2</v>
      </c>
    </row>
    <row r="133" spans="1:34" ht="29.25">
      <c r="A133" s="30" t="str">
        <f t="shared" si="100"/>
        <v>468</v>
      </c>
      <c r="B133" s="30">
        <f t="shared" si="101"/>
        <v>468</v>
      </c>
      <c r="C133" s="16" t="s">
        <v>142</v>
      </c>
      <c r="D133" s="155">
        <v>1475481.81</v>
      </c>
      <c r="E133" s="155">
        <v>291593.78999999998</v>
      </c>
      <c r="F133" s="155">
        <f t="shared" si="99"/>
        <v>1767075.6</v>
      </c>
      <c r="G133" s="238">
        <v>219</v>
      </c>
      <c r="H133" s="239">
        <f t="shared" si="102"/>
        <v>8068.8383561643841</v>
      </c>
      <c r="I133" s="213">
        <f t="shared" si="103"/>
        <v>1.0120244842877176E-3</v>
      </c>
      <c r="J133" s="5">
        <f>Calculations!AS133</f>
        <v>1829795.94595744</v>
      </c>
      <c r="K133" s="5">
        <f t="shared" si="104"/>
        <v>318404.96420912998</v>
      </c>
      <c r="L133" s="5">
        <f t="shared" si="105"/>
        <v>2148200.91016657</v>
      </c>
      <c r="M133" s="146">
        <v>219</v>
      </c>
      <c r="N133" s="58">
        <f t="shared" si="106"/>
        <v>9809.1365761030593</v>
      </c>
      <c r="O133" s="36">
        <f t="shared" si="107"/>
        <v>1.170674367624931E-3</v>
      </c>
      <c r="P133" s="211">
        <f>SUM(H133*'Front page'!$H$10)+H133</f>
        <v>8674.0012328767134</v>
      </c>
      <c r="Q133" s="211">
        <f t="shared" si="108"/>
        <v>1899606.2700000003</v>
      </c>
      <c r="R133" s="218"/>
      <c r="S133" s="5">
        <f t="shared" si="109"/>
        <v>381125.31016656989</v>
      </c>
      <c r="T133" s="5" t="str">
        <f t="shared" si="110"/>
        <v/>
      </c>
      <c r="U133" s="5">
        <f t="shared" si="111"/>
        <v>132530.67000000016</v>
      </c>
      <c r="V133" s="5">
        <f t="shared" si="112"/>
        <v>-248594.64016656973</v>
      </c>
      <c r="W133" s="55">
        <f t="shared" si="113"/>
        <v>0.21568138350536326</v>
      </c>
      <c r="X133" s="6">
        <f t="shared" si="114"/>
        <v>1899606.27</v>
      </c>
      <c r="Y133" s="5">
        <f t="shared" si="115"/>
        <v>1899606.27</v>
      </c>
      <c r="Z133" s="57">
        <f t="shared" si="116"/>
        <v>132530.66999999993</v>
      </c>
      <c r="AA133" s="5">
        <f t="shared" si="117"/>
        <v>-248594.64016656997</v>
      </c>
      <c r="AB133" s="58">
        <f>SUM(F133*'Front page'!$H$11)+F133</f>
        <v>1802417.1120000002</v>
      </c>
      <c r="AC133" s="58">
        <f t="shared" si="118"/>
        <v>2148200.91016657</v>
      </c>
      <c r="AD133" s="58">
        <f t="shared" si="119"/>
        <v>1899606.2700000003</v>
      </c>
      <c r="AE133" s="58">
        <f t="shared" si="120"/>
        <v>381125.31016656989</v>
      </c>
      <c r="AF133" s="56">
        <f t="shared" si="121"/>
        <v>0.21568138350536326</v>
      </c>
      <c r="AG133" s="58">
        <f t="shared" si="122"/>
        <v>132530.67000000016</v>
      </c>
      <c r="AH133" s="56">
        <f t="shared" si="123"/>
        <v>7.500000000000008E-2</v>
      </c>
    </row>
    <row r="134" spans="1:34">
      <c r="A134" s="30" t="str">
        <f t="shared" si="100"/>
        <v>469</v>
      </c>
      <c r="B134" s="30">
        <f t="shared" si="101"/>
        <v>469</v>
      </c>
      <c r="C134" s="16" t="s">
        <v>143</v>
      </c>
      <c r="D134" s="155">
        <v>1773625.17</v>
      </c>
      <c r="E134" s="155">
        <v>146558.71000000002</v>
      </c>
      <c r="F134" s="155">
        <f t="shared" si="99"/>
        <v>1920183.88</v>
      </c>
      <c r="G134" s="238">
        <v>191</v>
      </c>
      <c r="H134" s="239">
        <f t="shared" si="102"/>
        <v>10053.318743455497</v>
      </c>
      <c r="I134" s="213">
        <f t="shared" si="103"/>
        <v>1.0997113541121773E-3</v>
      </c>
      <c r="J134" s="5">
        <f>Calculations!AS134</f>
        <v>1804451.7789399121</v>
      </c>
      <c r="K134" s="5">
        <f t="shared" si="104"/>
        <v>160034.34370837003</v>
      </c>
      <c r="L134" s="5">
        <f t="shared" si="105"/>
        <v>1964486.1226482822</v>
      </c>
      <c r="M134" s="146">
        <v>191</v>
      </c>
      <c r="N134" s="58">
        <f t="shared" si="106"/>
        <v>10285.26765784441</v>
      </c>
      <c r="O134" s="36">
        <f t="shared" si="107"/>
        <v>1.0705579438381801E-3</v>
      </c>
      <c r="P134" s="211">
        <f>SUM(H134*'Front page'!$H$10)+H134</f>
        <v>10807.317649214659</v>
      </c>
      <c r="Q134" s="211">
        <f t="shared" si="108"/>
        <v>1964486.1226482822</v>
      </c>
      <c r="R134" s="218"/>
      <c r="S134" s="5">
        <f t="shared" si="109"/>
        <v>44302.242648282321</v>
      </c>
      <c r="T134" s="5" t="str">
        <f t="shared" si="110"/>
        <v/>
      </c>
      <c r="U134" s="5">
        <f t="shared" si="111"/>
        <v>44302.242648282321</v>
      </c>
      <c r="V134" s="5">
        <f t="shared" si="112"/>
        <v>0</v>
      </c>
      <c r="W134" s="55">
        <f t="shared" si="113"/>
        <v>2.3071875099942161E-2</v>
      </c>
      <c r="X134" s="6">
        <f t="shared" si="114"/>
        <v>2064197.6709999999</v>
      </c>
      <c r="Y134" s="5">
        <f t="shared" si="115"/>
        <v>1964486.1226482822</v>
      </c>
      <c r="Z134" s="57">
        <f t="shared" si="116"/>
        <v>44302.242648282321</v>
      </c>
      <c r="AA134" s="5">
        <f t="shared" si="117"/>
        <v>0</v>
      </c>
      <c r="AB134" s="58">
        <f>SUM(F134*'Front page'!$H$11)+F134</f>
        <v>1958587.5575999999</v>
      </c>
      <c r="AC134" s="58">
        <f t="shared" si="118"/>
        <v>1964486.1226482822</v>
      </c>
      <c r="AD134" s="58">
        <f t="shared" si="119"/>
        <v>1964486.1226482822</v>
      </c>
      <c r="AE134" s="58">
        <f t="shared" si="120"/>
        <v>44302.242648282321</v>
      </c>
      <c r="AF134" s="56">
        <f t="shared" si="121"/>
        <v>2.3071875099942161E-2</v>
      </c>
      <c r="AG134" s="58">
        <f t="shared" si="122"/>
        <v>44302.242648282321</v>
      </c>
      <c r="AH134" s="56">
        <f t="shared" si="123"/>
        <v>2.3071875099942161E-2</v>
      </c>
    </row>
    <row r="135" spans="1:34">
      <c r="A135" s="30" t="str">
        <f t="shared" si="100"/>
        <v>470</v>
      </c>
      <c r="B135" s="30">
        <f t="shared" si="101"/>
        <v>470</v>
      </c>
      <c r="C135" s="16" t="s">
        <v>144</v>
      </c>
      <c r="D135" s="155">
        <v>1737284.21</v>
      </c>
      <c r="E135" s="155">
        <v>189244.12</v>
      </c>
      <c r="F135" s="155">
        <f t="shared" si="99"/>
        <v>1926528.33</v>
      </c>
      <c r="G135" s="238">
        <v>231</v>
      </c>
      <c r="H135" s="239">
        <f t="shared" si="102"/>
        <v>8339.9494805194809</v>
      </c>
      <c r="I135" s="213">
        <f t="shared" si="103"/>
        <v>1.1033448934691461E-3</v>
      </c>
      <c r="J135" s="5">
        <f>Calculations!AS135</f>
        <v>2258630.4557683156</v>
      </c>
      <c r="K135" s="5">
        <f t="shared" si="104"/>
        <v>206644.54910164</v>
      </c>
      <c r="L135" s="5">
        <f t="shared" si="105"/>
        <v>2465275.0048699556</v>
      </c>
      <c r="M135" s="146">
        <v>231</v>
      </c>
      <c r="N135" s="58">
        <f t="shared" si="106"/>
        <v>10672.186168268207</v>
      </c>
      <c r="O135" s="36">
        <f t="shared" si="107"/>
        <v>1.3434657083000224E-3</v>
      </c>
      <c r="P135" s="211">
        <f>SUM(H135*'Front page'!$H$10)+H135</f>
        <v>8965.4456915584415</v>
      </c>
      <c r="Q135" s="211">
        <f t="shared" si="108"/>
        <v>2071017.95475</v>
      </c>
      <c r="R135" s="218"/>
      <c r="S135" s="5">
        <f t="shared" si="109"/>
        <v>538746.67486995552</v>
      </c>
      <c r="T135" s="5" t="str">
        <f t="shared" si="110"/>
        <v/>
      </c>
      <c r="U135" s="5">
        <f t="shared" si="111"/>
        <v>144489.62474999996</v>
      </c>
      <c r="V135" s="5">
        <f t="shared" si="112"/>
        <v>-394257.05011995556</v>
      </c>
      <c r="W135" s="55">
        <f t="shared" si="113"/>
        <v>0.27964638073604425</v>
      </c>
      <c r="X135" s="6">
        <f t="shared" si="114"/>
        <v>2071017.95475</v>
      </c>
      <c r="Y135" s="5">
        <f t="shared" si="115"/>
        <v>2071017.95475</v>
      </c>
      <c r="Z135" s="57">
        <f t="shared" si="116"/>
        <v>144489.62474999996</v>
      </c>
      <c r="AA135" s="5">
        <f t="shared" si="117"/>
        <v>-394257.05011995556</v>
      </c>
      <c r="AB135" s="58">
        <f>SUM(F135*'Front page'!$H$11)+F135</f>
        <v>1965058.8966000001</v>
      </c>
      <c r="AC135" s="58">
        <f t="shared" si="118"/>
        <v>2465275.0048699556</v>
      </c>
      <c r="AD135" s="58">
        <f t="shared" si="119"/>
        <v>2071017.95475</v>
      </c>
      <c r="AE135" s="58">
        <f t="shared" si="120"/>
        <v>538746.67486995552</v>
      </c>
      <c r="AF135" s="56">
        <f t="shared" si="121"/>
        <v>0.27964638073604425</v>
      </c>
      <c r="AG135" s="58">
        <f t="shared" si="122"/>
        <v>144489.62474999996</v>
      </c>
      <c r="AH135" s="56">
        <f t="shared" si="123"/>
        <v>7.4999999999999969E-2</v>
      </c>
    </row>
    <row r="136" spans="1:34">
      <c r="A136" s="30" t="str">
        <f t="shared" si="100"/>
        <v>472</v>
      </c>
      <c r="B136" s="30">
        <f t="shared" si="101"/>
        <v>472</v>
      </c>
      <c r="C136" s="16" t="s">
        <v>145</v>
      </c>
      <c r="D136" s="155">
        <v>1095666.06</v>
      </c>
      <c r="E136" s="155">
        <v>142463.31</v>
      </c>
      <c r="F136" s="155">
        <f t="shared" si="99"/>
        <v>1238129.3700000001</v>
      </c>
      <c r="G136" s="238">
        <v>179</v>
      </c>
      <c r="H136" s="239">
        <f t="shared" si="102"/>
        <v>6916.9238547486038</v>
      </c>
      <c r="I136" s="213">
        <f t="shared" si="103"/>
        <v>7.0909090542347296E-4</v>
      </c>
      <c r="J136" s="5">
        <f>Calculations!AS136</f>
        <v>1166711.106216559</v>
      </c>
      <c r="K136" s="5">
        <f t="shared" si="104"/>
        <v>155562.38396457001</v>
      </c>
      <c r="L136" s="5">
        <f t="shared" si="105"/>
        <v>1322273.490181129</v>
      </c>
      <c r="M136" s="146">
        <v>179</v>
      </c>
      <c r="N136" s="58">
        <f t="shared" si="106"/>
        <v>7387.0027384420609</v>
      </c>
      <c r="O136" s="36">
        <f t="shared" si="107"/>
        <v>7.2058049813645056E-4</v>
      </c>
      <c r="P136" s="211">
        <f>SUM(H136*'Front page'!$H$10)+H136</f>
        <v>7435.693143854749</v>
      </c>
      <c r="Q136" s="211">
        <f t="shared" si="108"/>
        <v>1322273.490181129</v>
      </c>
      <c r="R136" s="218"/>
      <c r="S136" s="5">
        <f t="shared" si="109"/>
        <v>84144.120181128848</v>
      </c>
      <c r="T136" s="5" t="str">
        <f t="shared" si="110"/>
        <v/>
      </c>
      <c r="U136" s="5">
        <f t="shared" si="111"/>
        <v>84144.120181128848</v>
      </c>
      <c r="V136" s="5">
        <f t="shared" si="112"/>
        <v>0</v>
      </c>
      <c r="W136" s="55">
        <f t="shared" si="113"/>
        <v>6.7960685062441281E-2</v>
      </c>
      <c r="X136" s="6">
        <f t="shared" si="114"/>
        <v>1330989.0727500001</v>
      </c>
      <c r="Y136" s="5">
        <f t="shared" si="115"/>
        <v>1322273.490181129</v>
      </c>
      <c r="Z136" s="57">
        <f t="shared" si="116"/>
        <v>84144.120181128848</v>
      </c>
      <c r="AA136" s="5">
        <f t="shared" si="117"/>
        <v>0</v>
      </c>
      <c r="AB136" s="58">
        <f>SUM(F136*'Front page'!$H$11)+F136</f>
        <v>1262891.9574000002</v>
      </c>
      <c r="AC136" s="58">
        <f t="shared" si="118"/>
        <v>1322273.490181129</v>
      </c>
      <c r="AD136" s="58">
        <f t="shared" si="119"/>
        <v>1322273.490181129</v>
      </c>
      <c r="AE136" s="58">
        <f t="shared" si="120"/>
        <v>84144.120181128848</v>
      </c>
      <c r="AF136" s="56">
        <f t="shared" si="121"/>
        <v>6.7960685062441281E-2</v>
      </c>
      <c r="AG136" s="58">
        <f t="shared" si="122"/>
        <v>84144.120181128848</v>
      </c>
      <c r="AH136" s="56">
        <f t="shared" si="123"/>
        <v>6.7960685062441281E-2</v>
      </c>
    </row>
    <row r="137" spans="1:34">
      <c r="A137" s="30" t="str">
        <f t="shared" si="100"/>
        <v>473</v>
      </c>
      <c r="B137" s="30">
        <f t="shared" si="101"/>
        <v>473</v>
      </c>
      <c r="C137" s="16" t="s">
        <v>146</v>
      </c>
      <c r="D137" s="155">
        <v>1907624.61</v>
      </c>
      <c r="E137" s="155">
        <v>276980.99</v>
      </c>
      <c r="F137" s="155">
        <f t="shared" si="99"/>
        <v>2184605.6</v>
      </c>
      <c r="G137" s="238">
        <v>410.5</v>
      </c>
      <c r="H137" s="239">
        <f t="shared" si="102"/>
        <v>5321.8163215590748</v>
      </c>
      <c r="I137" s="213">
        <f t="shared" si="103"/>
        <v>1.251148709037723E-3</v>
      </c>
      <c r="J137" s="5">
        <f>Calculations!AS137</f>
        <v>2682619.0435259044</v>
      </c>
      <c r="K137" s="5">
        <f t="shared" si="104"/>
        <v>302448.56108752999</v>
      </c>
      <c r="L137" s="5">
        <f t="shared" si="105"/>
        <v>2985067.6046134345</v>
      </c>
      <c r="M137" s="146">
        <v>410.5</v>
      </c>
      <c r="N137" s="58">
        <f t="shared" si="106"/>
        <v>7271.7846641009364</v>
      </c>
      <c r="O137" s="36">
        <f t="shared" si="107"/>
        <v>1.6267296572728552E-3</v>
      </c>
      <c r="P137" s="211">
        <f>SUM(H137*'Front page'!$H$10)+H137</f>
        <v>5720.9525456760057</v>
      </c>
      <c r="Q137" s="211">
        <f t="shared" si="108"/>
        <v>2348451.0200000005</v>
      </c>
      <c r="R137" s="218"/>
      <c r="S137" s="5">
        <f t="shared" si="109"/>
        <v>800462.00461343443</v>
      </c>
      <c r="T137" s="5" t="str">
        <f t="shared" si="110"/>
        <v/>
      </c>
      <c r="U137" s="5">
        <f t="shared" si="111"/>
        <v>163845.42000000039</v>
      </c>
      <c r="V137" s="5">
        <f t="shared" si="112"/>
        <v>-636616.58461343404</v>
      </c>
      <c r="W137" s="55">
        <f t="shared" si="113"/>
        <v>0.36641030518892492</v>
      </c>
      <c r="X137" s="6">
        <f t="shared" si="114"/>
        <v>2348451.02</v>
      </c>
      <c r="Y137" s="5">
        <f t="shared" si="115"/>
        <v>2348451.02</v>
      </c>
      <c r="Z137" s="57">
        <f t="shared" si="116"/>
        <v>163845.41999999993</v>
      </c>
      <c r="AA137" s="5">
        <f t="shared" si="117"/>
        <v>-636616.5846134345</v>
      </c>
      <c r="AB137" s="58">
        <f>SUM(F137*'Front page'!$H$11)+F137</f>
        <v>2228297.7120000003</v>
      </c>
      <c r="AC137" s="58">
        <f t="shared" si="118"/>
        <v>2985067.6046134345</v>
      </c>
      <c r="AD137" s="58">
        <f t="shared" si="119"/>
        <v>2348451.0200000005</v>
      </c>
      <c r="AE137" s="58">
        <f t="shared" si="120"/>
        <v>800462.00461343443</v>
      </c>
      <c r="AF137" s="56">
        <f t="shared" si="121"/>
        <v>0.36641030518892492</v>
      </c>
      <c r="AG137" s="58">
        <f t="shared" si="122"/>
        <v>163845.42000000039</v>
      </c>
      <c r="AH137" s="56">
        <f t="shared" si="123"/>
        <v>7.5000000000000178E-2</v>
      </c>
    </row>
    <row r="138" spans="1:34">
      <c r="A138" s="30" t="str">
        <f t="shared" si="100"/>
        <v>474</v>
      </c>
      <c r="B138" s="30">
        <f t="shared" si="101"/>
        <v>474</v>
      </c>
      <c r="C138" s="16" t="s">
        <v>147</v>
      </c>
      <c r="D138" s="155">
        <v>902464.55</v>
      </c>
      <c r="E138" s="155">
        <v>230210.53</v>
      </c>
      <c r="F138" s="155">
        <f t="shared" si="99"/>
        <v>1132675.08</v>
      </c>
      <c r="G138" s="238">
        <v>173</v>
      </c>
      <c r="H138" s="239">
        <f t="shared" si="102"/>
        <v>6547.2547976878614</v>
      </c>
      <c r="I138" s="213">
        <f t="shared" si="103"/>
        <v>6.4869602279752443E-4</v>
      </c>
      <c r="J138" s="5">
        <f>Calculations!AS138</f>
        <v>1317790.5327113289</v>
      </c>
      <c r="K138" s="5">
        <f t="shared" si="104"/>
        <v>251377.69760191001</v>
      </c>
      <c r="L138" s="5">
        <f t="shared" si="105"/>
        <v>1569168.2303132389</v>
      </c>
      <c r="M138" s="146">
        <v>173</v>
      </c>
      <c r="N138" s="58">
        <f t="shared" si="106"/>
        <v>9070.336591406005</v>
      </c>
      <c r="O138" s="36">
        <f t="shared" si="107"/>
        <v>8.5512719831062933E-4</v>
      </c>
      <c r="P138" s="211">
        <f>SUM(H138*'Front page'!$H$10)+H138</f>
        <v>7038.2989075144505</v>
      </c>
      <c r="Q138" s="211">
        <f t="shared" si="108"/>
        <v>1217625.7109999999</v>
      </c>
      <c r="R138" s="218"/>
      <c r="S138" s="5">
        <f t="shared" si="109"/>
        <v>436493.15031323885</v>
      </c>
      <c r="T138" s="5" t="str">
        <f t="shared" si="110"/>
        <v/>
      </c>
      <c r="U138" s="5">
        <f t="shared" si="111"/>
        <v>84950.630999999819</v>
      </c>
      <c r="V138" s="5">
        <f t="shared" si="112"/>
        <v>-351542.51931323903</v>
      </c>
      <c r="W138" s="55">
        <f t="shared" si="113"/>
        <v>0.38536483941470562</v>
      </c>
      <c r="X138" s="6">
        <f t="shared" si="114"/>
        <v>1217625.7110000001</v>
      </c>
      <c r="Y138" s="5">
        <f t="shared" si="115"/>
        <v>1217625.7110000001</v>
      </c>
      <c r="Z138" s="57">
        <f t="shared" si="116"/>
        <v>84950.631000000052</v>
      </c>
      <c r="AA138" s="5">
        <f t="shared" si="117"/>
        <v>-351542.51931323879</v>
      </c>
      <c r="AB138" s="58">
        <f>SUM(F138*'Front page'!$H$11)+F138</f>
        <v>1155328.5816000002</v>
      </c>
      <c r="AC138" s="58">
        <f t="shared" si="118"/>
        <v>1569168.2303132389</v>
      </c>
      <c r="AD138" s="58">
        <f t="shared" si="119"/>
        <v>1217625.7109999999</v>
      </c>
      <c r="AE138" s="58">
        <f t="shared" si="120"/>
        <v>436493.15031323885</v>
      </c>
      <c r="AF138" s="56">
        <f t="shared" si="121"/>
        <v>0.38536483941470562</v>
      </c>
      <c r="AG138" s="58">
        <f t="shared" si="122"/>
        <v>84950.630999999819</v>
      </c>
      <c r="AH138" s="56">
        <f t="shared" si="123"/>
        <v>7.4999999999999831E-2</v>
      </c>
    </row>
    <row r="139" spans="1:34">
      <c r="A139" s="30" t="str">
        <f t="shared" si="100"/>
        <v>475</v>
      </c>
      <c r="B139" s="30">
        <f t="shared" si="101"/>
        <v>475</v>
      </c>
      <c r="C139" s="16" t="s">
        <v>148</v>
      </c>
      <c r="D139" s="155">
        <v>5227179.96</v>
      </c>
      <c r="E139" s="155">
        <v>829067.59000000008</v>
      </c>
      <c r="F139" s="155">
        <f t="shared" si="99"/>
        <v>6056247.5499999998</v>
      </c>
      <c r="G139" s="238">
        <v>965.5</v>
      </c>
      <c r="H139" s="239">
        <f t="shared" si="102"/>
        <v>6272.6541170378041</v>
      </c>
      <c r="I139" s="213">
        <f t="shared" si="103"/>
        <v>3.4684825049406502E-3</v>
      </c>
      <c r="J139" s="5">
        <f>Calculations!AS139</f>
        <v>5094501.3413149444</v>
      </c>
      <c r="K139" s="5">
        <f t="shared" si="104"/>
        <v>905297.86769773008</v>
      </c>
      <c r="L139" s="5">
        <f t="shared" si="105"/>
        <v>5999799.2090126742</v>
      </c>
      <c r="M139" s="146">
        <v>965.5</v>
      </c>
      <c r="N139" s="58">
        <f t="shared" si="106"/>
        <v>6214.1887198474096</v>
      </c>
      <c r="O139" s="36">
        <f t="shared" si="107"/>
        <v>3.2696248808231124E-3</v>
      </c>
      <c r="P139" s="211">
        <f>SUM(H139*'Front page'!$H$10)+H139</f>
        <v>6743.1031758156396</v>
      </c>
      <c r="Q139" s="211">
        <f t="shared" si="108"/>
        <v>5999799.2090126742</v>
      </c>
      <c r="R139" s="218"/>
      <c r="S139" s="5">
        <f t="shared" si="109"/>
        <v>-56448.340987325646</v>
      </c>
      <c r="T139" s="5">
        <f t="shared" si="110"/>
        <v>-56448.340987325646</v>
      </c>
      <c r="U139" s="5">
        <f t="shared" si="111"/>
        <v>-56448.340987325646</v>
      </c>
      <c r="V139" s="5">
        <f t="shared" si="112"/>
        <v>0</v>
      </c>
      <c r="W139" s="55">
        <f t="shared" si="113"/>
        <v>-9.320679269017933E-3</v>
      </c>
      <c r="X139" s="6">
        <f t="shared" si="114"/>
        <v>6510466.11625</v>
      </c>
      <c r="Y139" s="5">
        <f t="shared" si="115"/>
        <v>5999799.2090126742</v>
      </c>
      <c r="Z139" s="57">
        <f t="shared" si="116"/>
        <v>-56448.340987325646</v>
      </c>
      <c r="AA139" s="5">
        <f t="shared" si="117"/>
        <v>0</v>
      </c>
      <c r="AB139" s="58">
        <f>SUM(F139*'Front page'!$H$11)+F139</f>
        <v>6177372.5010000002</v>
      </c>
      <c r="AC139" s="58">
        <f t="shared" si="118"/>
        <v>6177372.5010000002</v>
      </c>
      <c r="AD139" s="58">
        <f t="shared" si="119"/>
        <v>6177372.5010000002</v>
      </c>
      <c r="AE139" s="58">
        <f t="shared" si="120"/>
        <v>121124.95100000035</v>
      </c>
      <c r="AF139" s="56">
        <f t="shared" si="121"/>
        <v>2.0000000000000059E-2</v>
      </c>
      <c r="AG139" s="58">
        <f t="shared" si="122"/>
        <v>121124.95100000035</v>
      </c>
      <c r="AH139" s="56">
        <f t="shared" si="123"/>
        <v>2.0000000000000059E-2</v>
      </c>
    </row>
    <row r="140" spans="1:34">
      <c r="A140" s="30" t="str">
        <f t="shared" si="100"/>
        <v>476</v>
      </c>
      <c r="B140" s="30">
        <f t="shared" si="101"/>
        <v>476</v>
      </c>
      <c r="C140" s="16" t="s">
        <v>149</v>
      </c>
      <c r="D140" s="155">
        <v>3316890.47</v>
      </c>
      <c r="E140" s="155">
        <v>277436.02</v>
      </c>
      <c r="F140" s="155">
        <f t="shared" ref="F140:F171" si="124">D140+E140</f>
        <v>3594326.49</v>
      </c>
      <c r="G140" s="238">
        <v>509.5</v>
      </c>
      <c r="H140" s="239">
        <f t="shared" si="102"/>
        <v>7054.6152894995093</v>
      </c>
      <c r="I140" s="213">
        <f t="shared" si="103"/>
        <v>2.0585120480436331E-3</v>
      </c>
      <c r="J140" s="5">
        <f>Calculations!AS140</f>
        <v>3672871.4296067199</v>
      </c>
      <c r="K140" s="5">
        <f t="shared" si="104"/>
        <v>302945.42973094003</v>
      </c>
      <c r="L140" s="5">
        <f t="shared" si="105"/>
        <v>3975816.85933766</v>
      </c>
      <c r="M140" s="146">
        <v>509.5</v>
      </c>
      <c r="N140" s="58">
        <f t="shared" si="106"/>
        <v>7803.3696944801959</v>
      </c>
      <c r="O140" s="36">
        <f t="shared" si="107"/>
        <v>2.1666441279166743E-3</v>
      </c>
      <c r="P140" s="211">
        <f>SUM(H140*'Front page'!$H$10)+H140</f>
        <v>7583.7114362119728</v>
      </c>
      <c r="Q140" s="211">
        <f t="shared" si="108"/>
        <v>3863900.9767499999</v>
      </c>
      <c r="R140" s="218"/>
      <c r="S140" s="5">
        <f t="shared" si="109"/>
        <v>381490.36933765979</v>
      </c>
      <c r="T140" s="5" t="str">
        <f t="shared" si="110"/>
        <v/>
      </c>
      <c r="U140" s="5">
        <f t="shared" si="111"/>
        <v>269574.48674999969</v>
      </c>
      <c r="V140" s="5">
        <f t="shared" si="112"/>
        <v>-111915.8825876601</v>
      </c>
      <c r="W140" s="55">
        <f t="shared" si="113"/>
        <v>0.10613681600684521</v>
      </c>
      <c r="X140" s="6">
        <f t="shared" si="114"/>
        <v>3863900.9767500004</v>
      </c>
      <c r="Y140" s="5">
        <f t="shared" si="115"/>
        <v>3863900.9767500004</v>
      </c>
      <c r="Z140" s="57">
        <f t="shared" si="116"/>
        <v>269574.48675000016</v>
      </c>
      <c r="AA140" s="5">
        <f t="shared" si="117"/>
        <v>-111915.88258765964</v>
      </c>
      <c r="AB140" s="58">
        <f>SUM(F140*'Front page'!$H$11)+F140</f>
        <v>3666213.0198000004</v>
      </c>
      <c r="AC140" s="58">
        <f t="shared" si="118"/>
        <v>3975816.85933766</v>
      </c>
      <c r="AD140" s="58">
        <f t="shared" si="119"/>
        <v>3863900.9767499999</v>
      </c>
      <c r="AE140" s="58">
        <f t="shared" si="120"/>
        <v>381490.36933765979</v>
      </c>
      <c r="AF140" s="56">
        <f t="shared" si="121"/>
        <v>0.10613681600684521</v>
      </c>
      <c r="AG140" s="58">
        <f t="shared" si="122"/>
        <v>269574.48674999969</v>
      </c>
      <c r="AH140" s="56">
        <f t="shared" si="123"/>
        <v>7.4999999999999914E-2</v>
      </c>
    </row>
    <row r="141" spans="1:34" ht="29.25">
      <c r="A141" s="30" t="str">
        <f t="shared" si="100"/>
        <v>477</v>
      </c>
      <c r="B141" s="30">
        <f t="shared" si="101"/>
        <v>477</v>
      </c>
      <c r="C141" s="16" t="s">
        <v>150</v>
      </c>
      <c r="D141" s="155">
        <v>2745025.6399999997</v>
      </c>
      <c r="E141" s="155">
        <v>389751.51</v>
      </c>
      <c r="F141" s="155">
        <f t="shared" si="124"/>
        <v>3134777.1499999994</v>
      </c>
      <c r="G141" s="238">
        <v>562</v>
      </c>
      <c r="H141" s="239">
        <f t="shared" si="102"/>
        <v>5577.895284697508</v>
      </c>
      <c r="I141" s="213">
        <f t="shared" si="103"/>
        <v>1.7953228648427211E-3</v>
      </c>
      <c r="J141" s="5">
        <f>Calculations!AS141</f>
        <v>3295285.5335143525</v>
      </c>
      <c r="K141" s="5">
        <f t="shared" si="104"/>
        <v>425587.99208997004</v>
      </c>
      <c r="L141" s="5">
        <f t="shared" si="105"/>
        <v>3720873.5256043226</v>
      </c>
      <c r="M141" s="146">
        <v>562</v>
      </c>
      <c r="N141" s="58">
        <f t="shared" si="106"/>
        <v>6620.7713978724605</v>
      </c>
      <c r="O141" s="36">
        <f t="shared" si="107"/>
        <v>2.0277113006443295E-3</v>
      </c>
      <c r="P141" s="211">
        <f>SUM(H141*'Front page'!$H$10)+H141</f>
        <v>5996.2374310498208</v>
      </c>
      <c r="Q141" s="211">
        <f t="shared" si="108"/>
        <v>3369885.4362499993</v>
      </c>
      <c r="R141" s="218"/>
      <c r="S141" s="5">
        <f t="shared" si="109"/>
        <v>586096.37560432311</v>
      </c>
      <c r="T141" s="5" t="str">
        <f t="shared" si="110"/>
        <v/>
      </c>
      <c r="U141" s="5">
        <f t="shared" si="111"/>
        <v>235108.28624999989</v>
      </c>
      <c r="V141" s="5">
        <f t="shared" si="112"/>
        <v>-350988.08935432322</v>
      </c>
      <c r="W141" s="55">
        <f t="shared" si="113"/>
        <v>0.18696588228108119</v>
      </c>
      <c r="X141" s="6">
        <f t="shared" si="114"/>
        <v>3369885.4362499993</v>
      </c>
      <c r="Y141" s="5">
        <f t="shared" si="115"/>
        <v>3369885.4362499993</v>
      </c>
      <c r="Z141" s="57">
        <f t="shared" si="116"/>
        <v>235108.28624999989</v>
      </c>
      <c r="AA141" s="5">
        <f t="shared" si="117"/>
        <v>-350988.08935432322</v>
      </c>
      <c r="AB141" s="58">
        <f>SUM(F141*'Front page'!$H$11)+F141</f>
        <v>3197472.6929999995</v>
      </c>
      <c r="AC141" s="58">
        <f t="shared" si="118"/>
        <v>3720873.5256043226</v>
      </c>
      <c r="AD141" s="58">
        <f t="shared" si="119"/>
        <v>3369885.4362499993</v>
      </c>
      <c r="AE141" s="58">
        <f t="shared" si="120"/>
        <v>586096.37560432311</v>
      </c>
      <c r="AF141" s="56">
        <f t="shared" si="121"/>
        <v>0.18696588228108119</v>
      </c>
      <c r="AG141" s="58">
        <f t="shared" si="122"/>
        <v>235108.28624999989</v>
      </c>
      <c r="AH141" s="56">
        <f t="shared" si="123"/>
        <v>7.4999999999999983E-2</v>
      </c>
    </row>
    <row r="142" spans="1:34">
      <c r="A142" s="30" t="str">
        <f t="shared" si="100"/>
        <v>478</v>
      </c>
      <c r="B142" s="30">
        <f t="shared" si="101"/>
        <v>478</v>
      </c>
      <c r="C142" s="16" t="s">
        <v>151</v>
      </c>
      <c r="D142" s="155">
        <v>1734553.25</v>
      </c>
      <c r="E142" s="155">
        <v>283268.42000000004</v>
      </c>
      <c r="F142" s="155">
        <f t="shared" si="124"/>
        <v>2017821.67</v>
      </c>
      <c r="G142" s="238">
        <v>301</v>
      </c>
      <c r="H142" s="239">
        <f t="shared" si="102"/>
        <v>6703.726478405315</v>
      </c>
      <c r="I142" s="213">
        <f t="shared" si="103"/>
        <v>1.1556296374452405E-3</v>
      </c>
      <c r="J142" s="5">
        <f>Calculations!AS142</f>
        <v>1821055.1662437385</v>
      </c>
      <c r="K142" s="5">
        <f t="shared" si="104"/>
        <v>309314.10141374002</v>
      </c>
      <c r="L142" s="5">
        <f t="shared" si="105"/>
        <v>2130369.2676574783</v>
      </c>
      <c r="M142" s="146">
        <v>301</v>
      </c>
      <c r="N142" s="58">
        <f t="shared" si="106"/>
        <v>7077.6387629816554</v>
      </c>
      <c r="O142" s="36">
        <f t="shared" si="107"/>
        <v>1.1609569120930711E-3</v>
      </c>
      <c r="P142" s="211">
        <f>SUM(H142*'Front page'!$H$10)+H142</f>
        <v>7206.5059642857141</v>
      </c>
      <c r="Q142" s="211">
        <f t="shared" si="108"/>
        <v>2130369.2676574783</v>
      </c>
      <c r="R142" s="218"/>
      <c r="S142" s="5">
        <f t="shared" si="109"/>
        <v>112547.59765747841</v>
      </c>
      <c r="T142" s="5" t="str">
        <f t="shared" si="110"/>
        <v/>
      </c>
      <c r="U142" s="5">
        <f t="shared" si="111"/>
        <v>112547.59765747841</v>
      </c>
      <c r="V142" s="5">
        <f t="shared" si="112"/>
        <v>0</v>
      </c>
      <c r="W142" s="55">
        <f t="shared" si="113"/>
        <v>5.5776781135212221E-2</v>
      </c>
      <c r="X142" s="6">
        <f t="shared" si="114"/>
        <v>2169158.29525</v>
      </c>
      <c r="Y142" s="5">
        <f t="shared" si="115"/>
        <v>2130369.2676574783</v>
      </c>
      <c r="Z142" s="57">
        <f t="shared" si="116"/>
        <v>112547.59765747841</v>
      </c>
      <c r="AA142" s="5">
        <f t="shared" si="117"/>
        <v>0</v>
      </c>
      <c r="AB142" s="58">
        <f>SUM(F142*'Front page'!$H$11)+F142</f>
        <v>2058178.1033999999</v>
      </c>
      <c r="AC142" s="58">
        <f t="shared" si="118"/>
        <v>2130369.2676574783</v>
      </c>
      <c r="AD142" s="58">
        <f t="shared" si="119"/>
        <v>2130369.2676574783</v>
      </c>
      <c r="AE142" s="58">
        <f t="shared" si="120"/>
        <v>112547.59765747841</v>
      </c>
      <c r="AF142" s="56">
        <f t="shared" si="121"/>
        <v>5.5776781135212221E-2</v>
      </c>
      <c r="AG142" s="58">
        <f t="shared" si="122"/>
        <v>112547.59765747841</v>
      </c>
      <c r="AH142" s="56">
        <f t="shared" si="123"/>
        <v>5.5776781135212221E-2</v>
      </c>
    </row>
    <row r="143" spans="1:34">
      <c r="A143" s="30" t="str">
        <f t="shared" si="100"/>
        <v>479</v>
      </c>
      <c r="B143" s="30">
        <f t="shared" si="101"/>
        <v>479</v>
      </c>
      <c r="C143" s="16" t="s">
        <v>152</v>
      </c>
      <c r="D143" s="155">
        <v>1014513.16</v>
      </c>
      <c r="E143" s="155">
        <v>185915.58</v>
      </c>
      <c r="F143" s="155">
        <f t="shared" si="124"/>
        <v>1200428.74</v>
      </c>
      <c r="G143" s="238">
        <v>137</v>
      </c>
      <c r="H143" s="239">
        <f t="shared" si="102"/>
        <v>8762.2535766423352</v>
      </c>
      <c r="I143" s="213">
        <f t="shared" si="103"/>
        <v>6.874993217735871E-4</v>
      </c>
      <c r="J143" s="5">
        <f>Calculations!AS143</f>
        <v>1272018.6960222416</v>
      </c>
      <c r="K143" s="5">
        <f t="shared" si="104"/>
        <v>203009.95983425999</v>
      </c>
      <c r="L143" s="5">
        <f t="shared" si="105"/>
        <v>1475028.6558565015</v>
      </c>
      <c r="M143" s="146">
        <v>137</v>
      </c>
      <c r="N143" s="58">
        <f t="shared" si="106"/>
        <v>10766.632524500012</v>
      </c>
      <c r="O143" s="36">
        <f t="shared" si="107"/>
        <v>8.0382529899848557E-4</v>
      </c>
      <c r="P143" s="211">
        <f>SUM(H143*'Front page'!$H$10)+H143</f>
        <v>9419.4225948905096</v>
      </c>
      <c r="Q143" s="211">
        <f t="shared" si="108"/>
        <v>1290460.8954999999</v>
      </c>
      <c r="R143" s="218"/>
      <c r="S143" s="5">
        <f t="shared" si="109"/>
        <v>274599.91585650155</v>
      </c>
      <c r="T143" s="5" t="str">
        <f t="shared" si="110"/>
        <v/>
      </c>
      <c r="U143" s="5">
        <f t="shared" si="111"/>
        <v>90032.155499999877</v>
      </c>
      <c r="V143" s="5">
        <f t="shared" si="112"/>
        <v>-184567.76035650168</v>
      </c>
      <c r="W143" s="55">
        <f t="shared" si="113"/>
        <v>0.22875153410314181</v>
      </c>
      <c r="X143" s="6">
        <f t="shared" si="114"/>
        <v>1290460.8955000001</v>
      </c>
      <c r="Y143" s="5">
        <f t="shared" si="115"/>
        <v>1290460.8955000001</v>
      </c>
      <c r="Z143" s="57">
        <f t="shared" si="116"/>
        <v>90032.15550000011</v>
      </c>
      <c r="AA143" s="5">
        <f t="shared" si="117"/>
        <v>-184567.76035650144</v>
      </c>
      <c r="AB143" s="58">
        <f>SUM(F143*'Front page'!$H$11)+F143</f>
        <v>1224437.3148000001</v>
      </c>
      <c r="AC143" s="58">
        <f t="shared" si="118"/>
        <v>1475028.6558565015</v>
      </c>
      <c r="AD143" s="58">
        <f t="shared" si="119"/>
        <v>1290460.8954999999</v>
      </c>
      <c r="AE143" s="58">
        <f t="shared" si="120"/>
        <v>274599.91585650155</v>
      </c>
      <c r="AF143" s="56">
        <f t="shared" si="121"/>
        <v>0.22875153410314181</v>
      </c>
      <c r="AG143" s="58">
        <f t="shared" si="122"/>
        <v>90032.155499999877</v>
      </c>
      <c r="AH143" s="56">
        <f t="shared" si="123"/>
        <v>7.49999999999999E-2</v>
      </c>
    </row>
    <row r="144" spans="1:34">
      <c r="A144" s="30" t="str">
        <f t="shared" si="100"/>
        <v>480</v>
      </c>
      <c r="B144" s="30">
        <f t="shared" si="101"/>
        <v>480</v>
      </c>
      <c r="C144" s="16" t="s">
        <v>153</v>
      </c>
      <c r="D144" s="155">
        <v>2582432.27</v>
      </c>
      <c r="E144" s="155">
        <v>313286.26</v>
      </c>
      <c r="F144" s="155">
        <f t="shared" si="124"/>
        <v>2895718.5300000003</v>
      </c>
      <c r="G144" s="238">
        <v>463</v>
      </c>
      <c r="H144" s="239">
        <f t="shared" si="102"/>
        <v>6254.251684665227</v>
      </c>
      <c r="I144" s="213">
        <f t="shared" si="103"/>
        <v>1.6584112484862774E-3</v>
      </c>
      <c r="J144" s="5">
        <f>Calculations!AS144</f>
        <v>2816180.461356435</v>
      </c>
      <c r="K144" s="5">
        <f t="shared" si="104"/>
        <v>342091.99174822</v>
      </c>
      <c r="L144" s="5">
        <f t="shared" si="105"/>
        <v>3158272.4531046548</v>
      </c>
      <c r="M144" s="146">
        <v>463</v>
      </c>
      <c r="N144" s="58">
        <f t="shared" si="106"/>
        <v>6821.3227928826236</v>
      </c>
      <c r="O144" s="36">
        <f t="shared" si="107"/>
        <v>1.7211186296996982E-3</v>
      </c>
      <c r="P144" s="211">
        <f>SUM(H144*'Front page'!$H$10)+H144</f>
        <v>6723.320561015119</v>
      </c>
      <c r="Q144" s="211">
        <f t="shared" si="108"/>
        <v>3112897.4197499999</v>
      </c>
      <c r="R144" s="218"/>
      <c r="S144" s="5">
        <f t="shared" si="109"/>
        <v>262553.92310465453</v>
      </c>
      <c r="T144" s="5" t="str">
        <f t="shared" si="110"/>
        <v/>
      </c>
      <c r="U144" s="5">
        <f t="shared" si="111"/>
        <v>217178.88974999962</v>
      </c>
      <c r="V144" s="5">
        <f t="shared" si="112"/>
        <v>-45375.033354654908</v>
      </c>
      <c r="W144" s="55">
        <f t="shared" si="113"/>
        <v>9.0669697480802641E-2</v>
      </c>
      <c r="X144" s="6">
        <f t="shared" si="114"/>
        <v>3112897.4197500004</v>
      </c>
      <c r="Y144" s="5">
        <f t="shared" si="115"/>
        <v>3112897.4197500004</v>
      </c>
      <c r="Z144" s="57">
        <f t="shared" si="116"/>
        <v>217178.88975000009</v>
      </c>
      <c r="AA144" s="5">
        <f t="shared" si="117"/>
        <v>-45375.033354654443</v>
      </c>
      <c r="AB144" s="58">
        <f>SUM(F144*'Front page'!$H$11)+F144</f>
        <v>2953632.9006000003</v>
      </c>
      <c r="AC144" s="58">
        <f t="shared" si="118"/>
        <v>3158272.4531046548</v>
      </c>
      <c r="AD144" s="58">
        <f t="shared" si="119"/>
        <v>3112897.4197499999</v>
      </c>
      <c r="AE144" s="58">
        <f t="shared" si="120"/>
        <v>262553.92310465453</v>
      </c>
      <c r="AF144" s="56">
        <f t="shared" si="121"/>
        <v>9.0669697480802641E-2</v>
      </c>
      <c r="AG144" s="58">
        <f t="shared" si="122"/>
        <v>217178.88974999962</v>
      </c>
      <c r="AH144" s="56">
        <f t="shared" si="123"/>
        <v>7.4999999999999858E-2</v>
      </c>
    </row>
    <row r="145" spans="1:34">
      <c r="A145" s="30" t="str">
        <f t="shared" si="100"/>
        <v>481</v>
      </c>
      <c r="B145" s="30">
        <f t="shared" si="101"/>
        <v>481</v>
      </c>
      <c r="C145" s="16" t="s">
        <v>154</v>
      </c>
      <c r="D145" s="155">
        <v>2618401.09</v>
      </c>
      <c r="E145" s="155">
        <v>498108.02999999997</v>
      </c>
      <c r="F145" s="155">
        <f t="shared" si="124"/>
        <v>3116509.1199999996</v>
      </c>
      <c r="G145" s="238">
        <v>484</v>
      </c>
      <c r="H145" s="239">
        <f t="shared" si="102"/>
        <v>6439.0684297520656</v>
      </c>
      <c r="I145" s="213">
        <f t="shared" si="103"/>
        <v>1.7848605543226152E-3</v>
      </c>
      <c r="J145" s="5">
        <f>Calculations!AS145</f>
        <v>2726945.3055109954</v>
      </c>
      <c r="K145" s="5">
        <f t="shared" si="104"/>
        <v>543907.56903440994</v>
      </c>
      <c r="L145" s="5">
        <f t="shared" si="105"/>
        <v>3270852.8745454056</v>
      </c>
      <c r="M145" s="146">
        <v>484</v>
      </c>
      <c r="N145" s="58">
        <f t="shared" si="106"/>
        <v>6757.9604845979457</v>
      </c>
      <c r="O145" s="36">
        <f t="shared" si="107"/>
        <v>1.7824699740052361E-3</v>
      </c>
      <c r="P145" s="211">
        <f>SUM(H145*'Front page'!$H$10)+H145</f>
        <v>6921.9985619834706</v>
      </c>
      <c r="Q145" s="211">
        <f t="shared" si="108"/>
        <v>3270852.8745454056</v>
      </c>
      <c r="R145" s="218"/>
      <c r="S145" s="5">
        <f t="shared" si="109"/>
        <v>154343.75454540597</v>
      </c>
      <c r="T145" s="5" t="str">
        <f t="shared" si="110"/>
        <v/>
      </c>
      <c r="U145" s="5">
        <f t="shared" si="111"/>
        <v>154343.75454540597</v>
      </c>
      <c r="V145" s="5">
        <f t="shared" si="112"/>
        <v>0</v>
      </c>
      <c r="W145" s="55">
        <f t="shared" si="113"/>
        <v>4.9524563735403405E-2</v>
      </c>
      <c r="X145" s="6">
        <f t="shared" si="114"/>
        <v>3350247.3039999995</v>
      </c>
      <c r="Y145" s="5">
        <f t="shared" si="115"/>
        <v>3270852.8745454056</v>
      </c>
      <c r="Z145" s="57">
        <f t="shared" si="116"/>
        <v>154343.75454540597</v>
      </c>
      <c r="AA145" s="5">
        <f t="shared" si="117"/>
        <v>0</v>
      </c>
      <c r="AB145" s="58">
        <f>SUM(F145*'Front page'!$H$11)+F145</f>
        <v>3178839.3023999995</v>
      </c>
      <c r="AC145" s="58">
        <f t="shared" si="118"/>
        <v>3270852.8745454056</v>
      </c>
      <c r="AD145" s="58">
        <f t="shared" si="119"/>
        <v>3270852.8745454056</v>
      </c>
      <c r="AE145" s="58">
        <f t="shared" si="120"/>
        <v>154343.75454540597</v>
      </c>
      <c r="AF145" s="56">
        <f t="shared" si="121"/>
        <v>4.9524563735403405E-2</v>
      </c>
      <c r="AG145" s="58">
        <f t="shared" si="122"/>
        <v>154343.75454540597</v>
      </c>
      <c r="AH145" s="56">
        <f t="shared" si="123"/>
        <v>4.9524563735403405E-2</v>
      </c>
    </row>
    <row r="146" spans="1:34">
      <c r="A146" s="30" t="str">
        <f t="shared" si="100"/>
        <v>482</v>
      </c>
      <c r="B146" s="30">
        <f t="shared" si="101"/>
        <v>482</v>
      </c>
      <c r="C146" s="16" t="s">
        <v>155</v>
      </c>
      <c r="D146" s="155">
        <v>1906007</v>
      </c>
      <c r="E146" s="155">
        <v>276667</v>
      </c>
      <c r="F146" s="155">
        <f t="shared" si="124"/>
        <v>2182674</v>
      </c>
      <c r="G146" s="238">
        <v>315.5</v>
      </c>
      <c r="H146" s="239">
        <f t="shared" si="102"/>
        <v>6918.1426307448492</v>
      </c>
      <c r="I146" s="213">
        <f t="shared" si="103"/>
        <v>1.2500424595406159E-3</v>
      </c>
      <c r="J146" s="5">
        <f>Calculations!AS146</f>
        <v>2188688.9084154312</v>
      </c>
      <c r="K146" s="5">
        <f t="shared" si="104"/>
        <v>302105.70064900001</v>
      </c>
      <c r="L146" s="5">
        <f t="shared" si="105"/>
        <v>2490794.6090644309</v>
      </c>
      <c r="M146" s="146">
        <v>315.5</v>
      </c>
      <c r="N146" s="58">
        <f t="shared" si="106"/>
        <v>7894.7531190631726</v>
      </c>
      <c r="O146" s="36">
        <f t="shared" si="107"/>
        <v>1.3573727625057156E-3</v>
      </c>
      <c r="P146" s="211">
        <f>SUM(H146*'Front page'!$H$10)+H146</f>
        <v>7437.0033280507132</v>
      </c>
      <c r="Q146" s="211">
        <f t="shared" si="108"/>
        <v>2346374.5499999998</v>
      </c>
      <c r="R146" s="218"/>
      <c r="S146" s="5">
        <f t="shared" si="109"/>
        <v>308120.60906443093</v>
      </c>
      <c r="T146" s="5" t="str">
        <f t="shared" si="110"/>
        <v/>
      </c>
      <c r="U146" s="5">
        <f t="shared" si="111"/>
        <v>163700.54999999981</v>
      </c>
      <c r="V146" s="5">
        <f t="shared" si="112"/>
        <v>-144420.05906443112</v>
      </c>
      <c r="W146" s="55">
        <f t="shared" si="113"/>
        <v>0.14116657323284693</v>
      </c>
      <c r="X146" s="6">
        <f t="shared" si="114"/>
        <v>2346374.5499999998</v>
      </c>
      <c r="Y146" s="5">
        <f t="shared" si="115"/>
        <v>2346374.5499999998</v>
      </c>
      <c r="Z146" s="57">
        <f t="shared" si="116"/>
        <v>163700.54999999981</v>
      </c>
      <c r="AA146" s="5">
        <f t="shared" si="117"/>
        <v>-144420.05906443112</v>
      </c>
      <c r="AB146" s="58">
        <f>SUM(F146*'Front page'!$H$11)+F146</f>
        <v>2226327.48</v>
      </c>
      <c r="AC146" s="58">
        <f t="shared" si="118"/>
        <v>2490794.6090644309</v>
      </c>
      <c r="AD146" s="58">
        <f t="shared" si="119"/>
        <v>2346374.5499999998</v>
      </c>
      <c r="AE146" s="58">
        <f t="shared" si="120"/>
        <v>308120.60906443093</v>
      </c>
      <c r="AF146" s="56">
        <f t="shared" si="121"/>
        <v>0.14116657323284693</v>
      </c>
      <c r="AG146" s="58">
        <f t="shared" si="122"/>
        <v>163700.54999999981</v>
      </c>
      <c r="AH146" s="56">
        <f t="shared" si="123"/>
        <v>7.4999999999999914E-2</v>
      </c>
    </row>
    <row r="147" spans="1:34">
      <c r="A147" s="30" t="str">
        <f t="shared" si="100"/>
        <v>483</v>
      </c>
      <c r="B147" s="30">
        <f t="shared" si="101"/>
        <v>483</v>
      </c>
      <c r="C147" s="16" t="s">
        <v>156</v>
      </c>
      <c r="D147" s="155">
        <v>557158.34000000008</v>
      </c>
      <c r="E147" s="155">
        <v>192506.74</v>
      </c>
      <c r="F147" s="155">
        <f t="shared" si="124"/>
        <v>749665.08000000007</v>
      </c>
      <c r="G147" s="238">
        <v>78</v>
      </c>
      <c r="H147" s="239">
        <f t="shared" si="102"/>
        <v>9611.0907692307701</v>
      </c>
      <c r="I147" s="213">
        <f t="shared" si="103"/>
        <v>4.2934179837892083E-4</v>
      </c>
      <c r="J147" s="5">
        <f>Calculations!AS147</f>
        <v>655593.36066931672</v>
      </c>
      <c r="K147" s="5">
        <f t="shared" si="104"/>
        <v>210207.15722277999</v>
      </c>
      <c r="L147" s="5">
        <f t="shared" si="105"/>
        <v>865800.51789209666</v>
      </c>
      <c r="M147" s="146">
        <v>78</v>
      </c>
      <c r="N147" s="58">
        <f t="shared" si="106"/>
        <v>11100.006639642264</v>
      </c>
      <c r="O147" s="36">
        <f t="shared" si="107"/>
        <v>4.7182294215398894E-4</v>
      </c>
      <c r="P147" s="211">
        <f>SUM(H147*'Front page'!$H$10)+H147</f>
        <v>10331.922576923078</v>
      </c>
      <c r="Q147" s="211">
        <f t="shared" si="108"/>
        <v>805889.96100000013</v>
      </c>
      <c r="R147" s="218"/>
      <c r="S147" s="5">
        <f t="shared" si="109"/>
        <v>116135.43789209658</v>
      </c>
      <c r="T147" s="5" t="str">
        <f t="shared" si="110"/>
        <v/>
      </c>
      <c r="U147" s="5">
        <f t="shared" si="111"/>
        <v>56224.881000000052</v>
      </c>
      <c r="V147" s="5">
        <f t="shared" si="112"/>
        <v>-59910.556892096531</v>
      </c>
      <c r="W147" s="55">
        <f t="shared" si="113"/>
        <v>0.15491643000377792</v>
      </c>
      <c r="X147" s="6">
        <f t="shared" si="114"/>
        <v>805889.96100000013</v>
      </c>
      <c r="Y147" s="5">
        <f t="shared" si="115"/>
        <v>805889.96100000013</v>
      </c>
      <c r="Z147" s="57">
        <f t="shared" si="116"/>
        <v>56224.881000000052</v>
      </c>
      <c r="AA147" s="5">
        <f t="shared" si="117"/>
        <v>-59910.556892096531</v>
      </c>
      <c r="AB147" s="58">
        <f>SUM(F147*'Front page'!$H$11)+F147</f>
        <v>764658.38160000008</v>
      </c>
      <c r="AC147" s="58">
        <f t="shared" si="118"/>
        <v>865800.51789209666</v>
      </c>
      <c r="AD147" s="58">
        <f t="shared" si="119"/>
        <v>805889.96100000013</v>
      </c>
      <c r="AE147" s="58">
        <f t="shared" si="120"/>
        <v>116135.43789209658</v>
      </c>
      <c r="AF147" s="56">
        <f t="shared" si="121"/>
        <v>0.15491643000377792</v>
      </c>
      <c r="AG147" s="58">
        <f t="shared" si="122"/>
        <v>56224.881000000052</v>
      </c>
      <c r="AH147" s="56">
        <f t="shared" si="123"/>
        <v>7.5000000000000067E-2</v>
      </c>
    </row>
    <row r="148" spans="1:34">
      <c r="A148" s="30" t="str">
        <f t="shared" si="100"/>
        <v>485</v>
      </c>
      <c r="B148" s="30">
        <f t="shared" si="101"/>
        <v>485</v>
      </c>
      <c r="C148" s="16" t="s">
        <v>157</v>
      </c>
      <c r="D148" s="155">
        <v>882828.06</v>
      </c>
      <c r="E148" s="155">
        <v>310977.2</v>
      </c>
      <c r="F148" s="155">
        <f t="shared" si="124"/>
        <v>1193805.26</v>
      </c>
      <c r="G148" s="238">
        <v>120</v>
      </c>
      <c r="H148" s="239">
        <f t="shared" si="102"/>
        <v>9948.3771666666671</v>
      </c>
      <c r="I148" s="213">
        <f t="shared" si="103"/>
        <v>6.8370597873201606E-4</v>
      </c>
      <c r="J148" s="5">
        <f>Calculations!AS148</f>
        <v>1009749.2515861304</v>
      </c>
      <c r="K148" s="5">
        <f t="shared" si="104"/>
        <v>339570.62060840003</v>
      </c>
      <c r="L148" s="5">
        <f t="shared" si="105"/>
        <v>1349319.8721945304</v>
      </c>
      <c r="M148" s="146">
        <v>120</v>
      </c>
      <c r="N148" s="58">
        <f t="shared" si="106"/>
        <v>11244.332268287753</v>
      </c>
      <c r="O148" s="36">
        <f t="shared" si="107"/>
        <v>7.3531957864341586E-4</v>
      </c>
      <c r="P148" s="211">
        <f>SUM(H148*'Front page'!$H$10)+H148</f>
        <v>10694.505454166667</v>
      </c>
      <c r="Q148" s="211">
        <f t="shared" si="108"/>
        <v>1283340.6544999999</v>
      </c>
      <c r="R148" s="218"/>
      <c r="S148" s="5">
        <f t="shared" si="109"/>
        <v>155514.61219453043</v>
      </c>
      <c r="T148" s="5" t="str">
        <f t="shared" si="110"/>
        <v/>
      </c>
      <c r="U148" s="5">
        <f t="shared" si="111"/>
        <v>89535.394499999937</v>
      </c>
      <c r="V148" s="5">
        <f t="shared" si="112"/>
        <v>-65979.217694530496</v>
      </c>
      <c r="W148" s="55">
        <f t="shared" si="113"/>
        <v>0.13026799043801368</v>
      </c>
      <c r="X148" s="6">
        <f t="shared" si="114"/>
        <v>1283340.6544999999</v>
      </c>
      <c r="Y148" s="5">
        <f t="shared" si="115"/>
        <v>1283340.6544999999</v>
      </c>
      <c r="Z148" s="57">
        <f t="shared" si="116"/>
        <v>89535.394499999937</v>
      </c>
      <c r="AA148" s="5">
        <f t="shared" si="117"/>
        <v>-65979.217694530496</v>
      </c>
      <c r="AB148" s="58">
        <f>SUM(F148*'Front page'!$H$11)+F148</f>
        <v>1217681.3652000001</v>
      </c>
      <c r="AC148" s="58">
        <f t="shared" si="118"/>
        <v>1349319.8721945304</v>
      </c>
      <c r="AD148" s="58">
        <f t="shared" si="119"/>
        <v>1283340.6544999999</v>
      </c>
      <c r="AE148" s="58">
        <f t="shared" si="120"/>
        <v>155514.61219453043</v>
      </c>
      <c r="AF148" s="56">
        <f t="shared" si="121"/>
        <v>0.13026799043801368</v>
      </c>
      <c r="AG148" s="58">
        <f t="shared" si="122"/>
        <v>89535.394499999937</v>
      </c>
      <c r="AH148" s="56">
        <f t="shared" si="123"/>
        <v>7.4999999999999942E-2</v>
      </c>
    </row>
    <row r="149" spans="1:34">
      <c r="A149" s="30" t="str">
        <f t="shared" si="100"/>
        <v>486</v>
      </c>
      <c r="B149" s="30">
        <f t="shared" si="101"/>
        <v>486</v>
      </c>
      <c r="C149" s="16" t="s">
        <v>158</v>
      </c>
      <c r="D149" s="155">
        <v>893402.33000000007</v>
      </c>
      <c r="E149" s="155">
        <v>132612.55000000002</v>
      </c>
      <c r="F149" s="155">
        <f t="shared" si="124"/>
        <v>1026014.8800000001</v>
      </c>
      <c r="G149" s="238">
        <v>107.5</v>
      </c>
      <c r="H149" s="239">
        <f t="shared" si="102"/>
        <v>9544.3244651162804</v>
      </c>
      <c r="I149" s="213">
        <f t="shared" si="103"/>
        <v>5.8761050166926897E-4</v>
      </c>
      <c r="J149" s="5">
        <f>Calculations!AS149</f>
        <v>795766.49303593766</v>
      </c>
      <c r="K149" s="5">
        <f t="shared" si="104"/>
        <v>144805.87613485003</v>
      </c>
      <c r="L149" s="5">
        <f t="shared" si="105"/>
        <v>940572.36917078774</v>
      </c>
      <c r="M149" s="146">
        <v>107.5</v>
      </c>
      <c r="N149" s="58">
        <f t="shared" si="106"/>
        <v>8749.5104108910491</v>
      </c>
      <c r="O149" s="36">
        <f t="shared" si="107"/>
        <v>5.1257028999169185E-4</v>
      </c>
      <c r="P149" s="211">
        <f>SUM(H149*'Front page'!$H$10)+H149</f>
        <v>10260.148800000001</v>
      </c>
      <c r="Q149" s="211">
        <f t="shared" si="108"/>
        <v>940572.36917078774</v>
      </c>
      <c r="R149" s="218"/>
      <c r="S149" s="5">
        <f t="shared" si="109"/>
        <v>-85442.510829212377</v>
      </c>
      <c r="T149" s="5">
        <f t="shared" si="110"/>
        <v>-85442.510829212377</v>
      </c>
      <c r="U149" s="5">
        <f t="shared" si="111"/>
        <v>-85442.510829212377</v>
      </c>
      <c r="V149" s="5">
        <f t="shared" si="112"/>
        <v>0</v>
      </c>
      <c r="W149" s="55">
        <f t="shared" si="113"/>
        <v>-8.3276093256281394E-2</v>
      </c>
      <c r="X149" s="6">
        <f t="shared" si="114"/>
        <v>1102965.996</v>
      </c>
      <c r="Y149" s="5">
        <f t="shared" si="115"/>
        <v>940572.36917078774</v>
      </c>
      <c r="Z149" s="57">
        <f t="shared" si="116"/>
        <v>-85442.510829212377</v>
      </c>
      <c r="AA149" s="5">
        <f t="shared" si="117"/>
        <v>0</v>
      </c>
      <c r="AB149" s="58">
        <f>SUM(F149*'Front page'!$H$11)+F149</f>
        <v>1046535.1776000002</v>
      </c>
      <c r="AC149" s="58">
        <f t="shared" si="118"/>
        <v>1046535.1776000002</v>
      </c>
      <c r="AD149" s="58">
        <f t="shared" si="119"/>
        <v>1046535.1776000002</v>
      </c>
      <c r="AE149" s="58">
        <f t="shared" si="120"/>
        <v>20520.297600000049</v>
      </c>
      <c r="AF149" s="56">
        <f t="shared" si="121"/>
        <v>2.0000000000000046E-2</v>
      </c>
      <c r="AG149" s="58">
        <f t="shared" si="122"/>
        <v>20520.297600000049</v>
      </c>
      <c r="AH149" s="56">
        <f t="shared" si="123"/>
        <v>2.0000000000000046E-2</v>
      </c>
    </row>
    <row r="150" spans="1:34">
      <c r="A150" s="30" t="str">
        <f t="shared" si="100"/>
        <v>487</v>
      </c>
      <c r="B150" s="30">
        <f t="shared" si="101"/>
        <v>487</v>
      </c>
      <c r="C150" s="16" t="s">
        <v>159</v>
      </c>
      <c r="D150" s="155">
        <v>2392164.1300000004</v>
      </c>
      <c r="E150" s="155">
        <v>367874.22000000003</v>
      </c>
      <c r="F150" s="155">
        <f t="shared" si="124"/>
        <v>2760038.3500000006</v>
      </c>
      <c r="G150" s="238">
        <v>336</v>
      </c>
      <c r="H150" s="239">
        <f t="shared" si="102"/>
        <v>8214.3998511904774</v>
      </c>
      <c r="I150" s="213">
        <f t="shared" si="103"/>
        <v>1.5807056516275099E-3</v>
      </c>
      <c r="J150" s="5">
        <f>Calculations!AS150</f>
        <v>2366059.4921486164</v>
      </c>
      <c r="K150" s="5">
        <f t="shared" si="104"/>
        <v>401699.15090634004</v>
      </c>
      <c r="L150" s="5">
        <f t="shared" si="105"/>
        <v>2767758.6430549566</v>
      </c>
      <c r="M150" s="146">
        <v>336</v>
      </c>
      <c r="N150" s="58">
        <f t="shared" si="106"/>
        <v>8237.3769138540374</v>
      </c>
      <c r="O150" s="36">
        <f t="shared" si="107"/>
        <v>1.5083058962793009E-3</v>
      </c>
      <c r="P150" s="211">
        <f>SUM(H150*'Front page'!$H$10)+H150</f>
        <v>8830.4798400297623</v>
      </c>
      <c r="Q150" s="211">
        <f t="shared" si="108"/>
        <v>2767758.6430549566</v>
      </c>
      <c r="R150" s="218"/>
      <c r="S150" s="5">
        <f t="shared" si="109"/>
        <v>7720.2930549560115</v>
      </c>
      <c r="T150" s="5" t="str">
        <f t="shared" si="110"/>
        <v/>
      </c>
      <c r="U150" s="5">
        <f t="shared" si="111"/>
        <v>7720.2930549560115</v>
      </c>
      <c r="V150" s="5">
        <f t="shared" si="112"/>
        <v>0</v>
      </c>
      <c r="W150" s="55">
        <f t="shared" si="113"/>
        <v>2.7971687621499933E-3</v>
      </c>
      <c r="X150" s="6">
        <f t="shared" si="114"/>
        <v>2967041.2262500008</v>
      </c>
      <c r="Y150" s="5">
        <f t="shared" si="115"/>
        <v>2767758.6430549566</v>
      </c>
      <c r="Z150" s="57">
        <f t="shared" si="116"/>
        <v>7720.2930549560115</v>
      </c>
      <c r="AA150" s="5">
        <f t="shared" si="117"/>
        <v>0</v>
      </c>
      <c r="AB150" s="58">
        <f>SUM(F150*'Front page'!$H$11)+F150</f>
        <v>2815239.1170000006</v>
      </c>
      <c r="AC150" s="58">
        <f t="shared" si="118"/>
        <v>2815239.1170000006</v>
      </c>
      <c r="AD150" s="58">
        <f t="shared" si="119"/>
        <v>2815239.1170000006</v>
      </c>
      <c r="AE150" s="58">
        <f t="shared" si="120"/>
        <v>55200.766999999993</v>
      </c>
      <c r="AF150" s="56">
        <f t="shared" si="121"/>
        <v>1.9999999999999993E-2</v>
      </c>
      <c r="AG150" s="58">
        <f t="shared" si="122"/>
        <v>55200.766999999993</v>
      </c>
      <c r="AH150" s="56">
        <f t="shared" si="123"/>
        <v>1.9999999999999993E-2</v>
      </c>
    </row>
    <row r="151" spans="1:34">
      <c r="A151" s="30" t="str">
        <f t="shared" si="100"/>
        <v>488</v>
      </c>
      <c r="B151" s="30">
        <f t="shared" si="101"/>
        <v>488</v>
      </c>
      <c r="C151" s="16" t="s">
        <v>160</v>
      </c>
      <c r="D151" s="155">
        <v>737902.03</v>
      </c>
      <c r="E151" s="155">
        <v>120523.12</v>
      </c>
      <c r="F151" s="155">
        <f t="shared" si="124"/>
        <v>858425.15</v>
      </c>
      <c r="G151" s="238">
        <v>116</v>
      </c>
      <c r="H151" s="239">
        <f t="shared" si="102"/>
        <v>7400.2168103448275</v>
      </c>
      <c r="I151" s="213">
        <f t="shared" si="103"/>
        <v>4.9162993916522675E-4</v>
      </c>
      <c r="J151" s="5">
        <f>Calculations!AS151</f>
        <v>790363.97406544432</v>
      </c>
      <c r="K151" s="5">
        <f t="shared" si="104"/>
        <v>131604.85931463999</v>
      </c>
      <c r="L151" s="5">
        <f t="shared" si="105"/>
        <v>921968.83338008425</v>
      </c>
      <c r="M151" s="146">
        <v>116</v>
      </c>
      <c r="N151" s="58">
        <f t="shared" si="106"/>
        <v>7948.0071843110709</v>
      </c>
      <c r="O151" s="36">
        <f t="shared" si="107"/>
        <v>5.0243218680297243E-4</v>
      </c>
      <c r="P151" s="211">
        <f>SUM(H151*'Front page'!$H$10)+H151</f>
        <v>7955.2330711206896</v>
      </c>
      <c r="Q151" s="211">
        <f t="shared" si="108"/>
        <v>921968.83338008425</v>
      </c>
      <c r="R151" s="218"/>
      <c r="S151" s="5">
        <f t="shared" si="109"/>
        <v>63543.683380084229</v>
      </c>
      <c r="T151" s="5" t="str">
        <f t="shared" si="110"/>
        <v/>
      </c>
      <c r="U151" s="5">
        <f t="shared" si="111"/>
        <v>63543.683380084229</v>
      </c>
      <c r="V151" s="5">
        <f t="shared" si="112"/>
        <v>0</v>
      </c>
      <c r="W151" s="55">
        <f t="shared" si="113"/>
        <v>7.4023557418004621E-2</v>
      </c>
      <c r="X151" s="6">
        <f t="shared" si="114"/>
        <v>922807.03625</v>
      </c>
      <c r="Y151" s="5">
        <f t="shared" si="115"/>
        <v>921968.83338008425</v>
      </c>
      <c r="Z151" s="57">
        <f t="shared" si="116"/>
        <v>63543.683380084229</v>
      </c>
      <c r="AA151" s="5">
        <f t="shared" si="117"/>
        <v>0</v>
      </c>
      <c r="AB151" s="58">
        <f>SUM(F151*'Front page'!$H$11)+F151</f>
        <v>875593.65300000005</v>
      </c>
      <c r="AC151" s="58">
        <f t="shared" si="118"/>
        <v>921968.83338008425</v>
      </c>
      <c r="AD151" s="58">
        <f t="shared" si="119"/>
        <v>921968.83338008425</v>
      </c>
      <c r="AE151" s="58">
        <f t="shared" si="120"/>
        <v>63543.683380084229</v>
      </c>
      <c r="AF151" s="56">
        <f t="shared" si="121"/>
        <v>7.4023557418004621E-2</v>
      </c>
      <c r="AG151" s="58">
        <f t="shared" si="122"/>
        <v>63543.683380084229</v>
      </c>
      <c r="AH151" s="56">
        <f t="shared" si="123"/>
        <v>7.4023557418004621E-2</v>
      </c>
    </row>
    <row r="152" spans="1:34">
      <c r="A152" s="30" t="str">
        <f t="shared" si="100"/>
        <v>489</v>
      </c>
      <c r="B152" s="30">
        <f t="shared" si="101"/>
        <v>489</v>
      </c>
      <c r="C152" s="16" t="s">
        <v>161</v>
      </c>
      <c r="D152" s="155">
        <v>989729.71</v>
      </c>
      <c r="E152" s="155">
        <v>95333.6</v>
      </c>
      <c r="F152" s="155">
        <f t="shared" si="124"/>
        <v>1085063.31</v>
      </c>
      <c r="G152" s="238">
        <v>95</v>
      </c>
      <c r="H152" s="239">
        <f t="shared" si="102"/>
        <v>11421.719052631579</v>
      </c>
      <c r="I152" s="213">
        <f t="shared" si="103"/>
        <v>6.2142821547774962E-4</v>
      </c>
      <c r="J152" s="5">
        <f>Calculations!AS152</f>
        <v>1147271.7042004918</v>
      </c>
      <c r="K152" s="5">
        <f t="shared" si="104"/>
        <v>104099.23851920001</v>
      </c>
      <c r="L152" s="5">
        <f t="shared" si="105"/>
        <v>1251370.9427196919</v>
      </c>
      <c r="M152" s="146">
        <v>95</v>
      </c>
      <c r="N152" s="58">
        <f t="shared" si="106"/>
        <v>13172.325712838861</v>
      </c>
      <c r="O152" s="36">
        <f t="shared" si="107"/>
        <v>6.8194174953542779E-4</v>
      </c>
      <c r="P152" s="211">
        <f>SUM(H152*'Front page'!$H$10)+H152</f>
        <v>12278.347981578947</v>
      </c>
      <c r="Q152" s="211">
        <f t="shared" si="108"/>
        <v>1166443.05825</v>
      </c>
      <c r="R152" s="218"/>
      <c r="S152" s="5">
        <f t="shared" si="109"/>
        <v>166307.63271969184</v>
      </c>
      <c r="T152" s="5" t="str">
        <f t="shared" si="110"/>
        <v/>
      </c>
      <c r="U152" s="5">
        <f t="shared" si="111"/>
        <v>81379.748249999946</v>
      </c>
      <c r="V152" s="5">
        <f t="shared" si="112"/>
        <v>-84927.884469691897</v>
      </c>
      <c r="W152" s="55">
        <f t="shared" si="113"/>
        <v>0.15326998082691767</v>
      </c>
      <c r="X152" s="6">
        <f t="shared" si="114"/>
        <v>1166443.05825</v>
      </c>
      <c r="Y152" s="5">
        <f t="shared" si="115"/>
        <v>1166443.05825</v>
      </c>
      <c r="Z152" s="57">
        <f t="shared" si="116"/>
        <v>81379.748249999946</v>
      </c>
      <c r="AA152" s="5">
        <f t="shared" si="117"/>
        <v>-84927.884469691897</v>
      </c>
      <c r="AB152" s="58">
        <f>SUM(F152*'Front page'!$H$11)+F152</f>
        <v>1106764.5762</v>
      </c>
      <c r="AC152" s="58">
        <f t="shared" si="118"/>
        <v>1251370.9427196919</v>
      </c>
      <c r="AD152" s="58">
        <f t="shared" si="119"/>
        <v>1166443.05825</v>
      </c>
      <c r="AE152" s="58">
        <f t="shared" si="120"/>
        <v>166307.63271969184</v>
      </c>
      <c r="AF152" s="56">
        <f t="shared" si="121"/>
        <v>0.15326998082691767</v>
      </c>
      <c r="AG152" s="58">
        <f t="shared" si="122"/>
        <v>81379.748249999946</v>
      </c>
      <c r="AH152" s="56">
        <f t="shared" si="123"/>
        <v>7.4999999999999942E-2</v>
      </c>
    </row>
    <row r="153" spans="1:34">
      <c r="A153" s="30" t="str">
        <f t="shared" si="100"/>
        <v>490</v>
      </c>
      <c r="B153" s="30">
        <f t="shared" si="101"/>
        <v>490</v>
      </c>
      <c r="C153" s="16" t="s">
        <v>162</v>
      </c>
      <c r="D153" s="155">
        <v>3413945.59</v>
      </c>
      <c r="E153" s="155">
        <v>669644.07000000007</v>
      </c>
      <c r="F153" s="155">
        <f t="shared" si="124"/>
        <v>4083589.66</v>
      </c>
      <c r="G153" s="238">
        <v>509.5</v>
      </c>
      <c r="H153" s="239">
        <f t="shared" si="102"/>
        <v>8014.8962904808641</v>
      </c>
      <c r="I153" s="213">
        <f t="shared" si="103"/>
        <v>2.3387186828362949E-3</v>
      </c>
      <c r="J153" s="5">
        <f>Calculations!AS153</f>
        <v>3119266.1964634019</v>
      </c>
      <c r="K153" s="5">
        <f t="shared" si="104"/>
        <v>731215.83330429008</v>
      </c>
      <c r="L153" s="5">
        <f t="shared" si="105"/>
        <v>3850482.0297676921</v>
      </c>
      <c r="M153" s="146">
        <v>509.5</v>
      </c>
      <c r="N153" s="58">
        <f t="shared" si="106"/>
        <v>7557.3739544017508</v>
      </c>
      <c r="O153" s="36">
        <f t="shared" si="107"/>
        <v>2.098342195982001E-3</v>
      </c>
      <c r="P153" s="211">
        <f>SUM(H153*'Front page'!$H$10)+H153</f>
        <v>8616.013512266929</v>
      </c>
      <c r="Q153" s="211">
        <f t="shared" si="108"/>
        <v>3850482.0297676921</v>
      </c>
      <c r="R153" s="218"/>
      <c r="S153" s="5">
        <f t="shared" si="109"/>
        <v>-233107.63023230806</v>
      </c>
      <c r="T153" s="5">
        <f t="shared" si="110"/>
        <v>-233107.63023230806</v>
      </c>
      <c r="U153" s="5">
        <f t="shared" si="111"/>
        <v>-233107.63023230806</v>
      </c>
      <c r="V153" s="5">
        <f t="shared" si="112"/>
        <v>0</v>
      </c>
      <c r="W153" s="55">
        <f t="shared" si="113"/>
        <v>-5.7083999530038003E-2</v>
      </c>
      <c r="X153" s="6">
        <f t="shared" si="114"/>
        <v>4389858.8845000006</v>
      </c>
      <c r="Y153" s="5">
        <f t="shared" si="115"/>
        <v>3850482.0297676921</v>
      </c>
      <c r="Z153" s="57">
        <f t="shared" si="116"/>
        <v>-233107.63023230806</v>
      </c>
      <c r="AA153" s="5">
        <f t="shared" si="117"/>
        <v>0</v>
      </c>
      <c r="AB153" s="58">
        <f>SUM(F153*'Front page'!$H$11)+F153</f>
        <v>4165261.4532000003</v>
      </c>
      <c r="AC153" s="58">
        <f t="shared" si="118"/>
        <v>4165261.4532000003</v>
      </c>
      <c r="AD153" s="58">
        <f t="shared" si="119"/>
        <v>4165261.4532000003</v>
      </c>
      <c r="AE153" s="58">
        <f t="shared" si="120"/>
        <v>81671.793200000189</v>
      </c>
      <c r="AF153" s="56">
        <f t="shared" si="121"/>
        <v>2.0000000000000046E-2</v>
      </c>
      <c r="AG153" s="58">
        <f t="shared" si="122"/>
        <v>81671.793200000189</v>
      </c>
      <c r="AH153" s="56">
        <f t="shared" si="123"/>
        <v>2.0000000000000046E-2</v>
      </c>
    </row>
    <row r="154" spans="1:34">
      <c r="A154" s="30" t="str">
        <f t="shared" si="100"/>
        <v>491</v>
      </c>
      <c r="B154" s="30">
        <f t="shared" si="101"/>
        <v>491</v>
      </c>
      <c r="C154" s="16" t="s">
        <v>163</v>
      </c>
      <c r="D154" s="155">
        <v>4263737.83</v>
      </c>
      <c r="E154" s="155">
        <v>472118.62</v>
      </c>
      <c r="F154" s="155">
        <f t="shared" si="124"/>
        <v>4735856.45</v>
      </c>
      <c r="G154" s="238">
        <v>706</v>
      </c>
      <c r="H154" s="239">
        <f t="shared" si="102"/>
        <v>6708.0119688385275</v>
      </c>
      <c r="I154" s="213">
        <f t="shared" si="103"/>
        <v>2.7122793622819026E-3</v>
      </c>
      <c r="J154" s="5">
        <f>Calculations!AS154</f>
        <v>3962126.9872157411</v>
      </c>
      <c r="K154" s="5">
        <f t="shared" si="104"/>
        <v>515528.51075313997</v>
      </c>
      <c r="L154" s="5">
        <f t="shared" si="105"/>
        <v>4477655.4979688814</v>
      </c>
      <c r="M154" s="146">
        <v>706</v>
      </c>
      <c r="N154" s="58">
        <f t="shared" si="106"/>
        <v>6342.2882407491234</v>
      </c>
      <c r="O154" s="36">
        <f t="shared" si="107"/>
        <v>2.4401239631355355E-3</v>
      </c>
      <c r="P154" s="211">
        <f>SUM(H154*'Front page'!$H$10)+H154</f>
        <v>7211.1128665014166</v>
      </c>
      <c r="Q154" s="211">
        <f t="shared" si="108"/>
        <v>4477655.4979688814</v>
      </c>
      <c r="R154" s="218"/>
      <c r="S154" s="5">
        <f t="shared" si="109"/>
        <v>-258200.9520311188</v>
      </c>
      <c r="T154" s="5">
        <f t="shared" si="110"/>
        <v>-258200.9520311188</v>
      </c>
      <c r="U154" s="5">
        <f t="shared" si="111"/>
        <v>-258200.9520311188</v>
      </c>
      <c r="V154" s="5">
        <f t="shared" si="112"/>
        <v>0</v>
      </c>
      <c r="W154" s="55">
        <f t="shared" si="113"/>
        <v>-5.452043463672105E-2</v>
      </c>
      <c r="X154" s="6">
        <f t="shared" si="114"/>
        <v>5091045.6837499999</v>
      </c>
      <c r="Y154" s="5">
        <f t="shared" si="115"/>
        <v>4477655.4979688814</v>
      </c>
      <c r="Z154" s="57">
        <f t="shared" si="116"/>
        <v>-258200.9520311188</v>
      </c>
      <c r="AA154" s="5">
        <f t="shared" si="117"/>
        <v>0</v>
      </c>
      <c r="AB154" s="58">
        <f>SUM(F154*'Front page'!$H$11)+F154</f>
        <v>4830573.5789999999</v>
      </c>
      <c r="AC154" s="58">
        <f t="shared" si="118"/>
        <v>4830573.5789999999</v>
      </c>
      <c r="AD154" s="58">
        <f t="shared" si="119"/>
        <v>4830573.5789999999</v>
      </c>
      <c r="AE154" s="58">
        <f t="shared" si="120"/>
        <v>94717.128999999724</v>
      </c>
      <c r="AF154" s="56">
        <f t="shared" si="121"/>
        <v>1.9999999999999941E-2</v>
      </c>
      <c r="AG154" s="58">
        <f t="shared" si="122"/>
        <v>94717.128999999724</v>
      </c>
      <c r="AH154" s="56">
        <f t="shared" si="123"/>
        <v>1.9999999999999941E-2</v>
      </c>
    </row>
    <row r="155" spans="1:34">
      <c r="A155" s="30" t="str">
        <f t="shared" si="100"/>
        <v>492</v>
      </c>
      <c r="B155" s="30">
        <f t="shared" si="101"/>
        <v>492</v>
      </c>
      <c r="C155" s="16" t="s">
        <v>164</v>
      </c>
      <c r="D155" s="155">
        <v>2029839.62</v>
      </c>
      <c r="E155" s="155">
        <v>250678.29</v>
      </c>
      <c r="F155" s="155">
        <f t="shared" si="124"/>
        <v>2280517.91</v>
      </c>
      <c r="G155" s="238">
        <v>351</v>
      </c>
      <c r="H155" s="239">
        <f t="shared" si="102"/>
        <v>6497.2020227920229</v>
      </c>
      <c r="I155" s="213">
        <f t="shared" si="103"/>
        <v>1.3060787901641863E-3</v>
      </c>
      <c r="J155" s="5">
        <f>Calculations!AS155</f>
        <v>2217772.2857522792</v>
      </c>
      <c r="K155" s="5">
        <f t="shared" si="104"/>
        <v>273727.40673063003</v>
      </c>
      <c r="L155" s="5">
        <f t="shared" si="105"/>
        <v>2491499.6924829092</v>
      </c>
      <c r="M155" s="146">
        <v>351</v>
      </c>
      <c r="N155" s="58">
        <f t="shared" si="106"/>
        <v>7098.2897221735302</v>
      </c>
      <c r="O155" s="36">
        <f t="shared" si="107"/>
        <v>1.3577570017456971E-3</v>
      </c>
      <c r="P155" s="211">
        <f>SUM(H155*'Front page'!$H$10)+H155</f>
        <v>6984.4921745014244</v>
      </c>
      <c r="Q155" s="211">
        <f t="shared" si="108"/>
        <v>2451556.7532500001</v>
      </c>
      <c r="R155" s="218"/>
      <c r="S155" s="5">
        <f t="shared" si="109"/>
        <v>210981.78248290904</v>
      </c>
      <c r="T155" s="5" t="str">
        <f t="shared" si="110"/>
        <v/>
      </c>
      <c r="U155" s="5">
        <f t="shared" si="111"/>
        <v>171038.84324999992</v>
      </c>
      <c r="V155" s="5">
        <f t="shared" si="112"/>
        <v>-39942.939232909121</v>
      </c>
      <c r="W155" s="55">
        <f t="shared" si="113"/>
        <v>9.25148544362491E-2</v>
      </c>
      <c r="X155" s="6">
        <f t="shared" si="114"/>
        <v>2451556.7532500001</v>
      </c>
      <c r="Y155" s="5">
        <f t="shared" si="115"/>
        <v>2451556.7532500001</v>
      </c>
      <c r="Z155" s="57">
        <f t="shared" si="116"/>
        <v>171038.84324999992</v>
      </c>
      <c r="AA155" s="5">
        <f t="shared" si="117"/>
        <v>-39942.939232909121</v>
      </c>
      <c r="AB155" s="58">
        <f>SUM(F155*'Front page'!$H$11)+F155</f>
        <v>2326128.2682000003</v>
      </c>
      <c r="AC155" s="58">
        <f t="shared" si="118"/>
        <v>2491499.6924829092</v>
      </c>
      <c r="AD155" s="58">
        <f t="shared" si="119"/>
        <v>2451556.7532500001</v>
      </c>
      <c r="AE155" s="58">
        <f t="shared" si="120"/>
        <v>210981.78248290904</v>
      </c>
      <c r="AF155" s="56">
        <f t="shared" si="121"/>
        <v>9.25148544362491E-2</v>
      </c>
      <c r="AG155" s="58">
        <f t="shared" si="122"/>
        <v>171038.84324999992</v>
      </c>
      <c r="AH155" s="56">
        <f t="shared" si="123"/>
        <v>7.4999999999999956E-2</v>
      </c>
    </row>
    <row r="156" spans="1:34">
      <c r="A156" s="30" t="str">
        <f t="shared" si="100"/>
        <v>493</v>
      </c>
      <c r="B156" s="30">
        <f t="shared" si="101"/>
        <v>493</v>
      </c>
      <c r="C156" s="16" t="s">
        <v>165</v>
      </c>
      <c r="D156" s="155">
        <v>5252753.87</v>
      </c>
      <c r="E156" s="155">
        <v>811110.37</v>
      </c>
      <c r="F156" s="155">
        <f t="shared" si="124"/>
        <v>6063864.2400000002</v>
      </c>
      <c r="G156" s="238">
        <v>913</v>
      </c>
      <c r="H156" s="239">
        <f t="shared" si="102"/>
        <v>6641.6913910186204</v>
      </c>
      <c r="I156" s="213">
        <f t="shared" si="103"/>
        <v>3.4728446707524749E-3</v>
      </c>
      <c r="J156" s="5">
        <f>Calculations!AS156</f>
        <v>5176076.210712146</v>
      </c>
      <c r="K156" s="5">
        <f t="shared" si="104"/>
        <v>885689.53519038996</v>
      </c>
      <c r="L156" s="5">
        <f t="shared" si="105"/>
        <v>6061765.7459025364</v>
      </c>
      <c r="M156" s="146">
        <v>913</v>
      </c>
      <c r="N156" s="58">
        <f t="shared" si="106"/>
        <v>6639.3929308899633</v>
      </c>
      <c r="O156" s="36">
        <f t="shared" si="107"/>
        <v>3.3033938993744646E-3</v>
      </c>
      <c r="P156" s="211">
        <f>SUM(H156*'Front page'!$H$10)+H156</f>
        <v>7139.8182453450172</v>
      </c>
      <c r="Q156" s="211">
        <f t="shared" si="108"/>
        <v>6061765.7459025364</v>
      </c>
      <c r="R156" s="218"/>
      <c r="S156" s="5">
        <f t="shared" si="109"/>
        <v>-2098.4940974637866</v>
      </c>
      <c r="T156" s="5">
        <f t="shared" si="110"/>
        <v>-2098.4940974637866</v>
      </c>
      <c r="U156" s="5">
        <f t="shared" si="111"/>
        <v>-2098.4940974637866</v>
      </c>
      <c r="V156" s="5">
        <f t="shared" si="112"/>
        <v>0</v>
      </c>
      <c r="W156" s="55">
        <f t="shared" si="113"/>
        <v>-3.4606548141714112E-4</v>
      </c>
      <c r="X156" s="6">
        <f t="shared" si="114"/>
        <v>6518654.0580000002</v>
      </c>
      <c r="Y156" s="5">
        <f t="shared" si="115"/>
        <v>6061765.7459025364</v>
      </c>
      <c r="Z156" s="57">
        <f t="shared" si="116"/>
        <v>-2098.4940974637866</v>
      </c>
      <c r="AA156" s="5">
        <f t="shared" si="117"/>
        <v>0</v>
      </c>
      <c r="AB156" s="58">
        <f>SUM(F156*'Front page'!$H$11)+F156</f>
        <v>6185141.5247999998</v>
      </c>
      <c r="AC156" s="58">
        <f t="shared" si="118"/>
        <v>6185141.5247999998</v>
      </c>
      <c r="AD156" s="58">
        <f t="shared" si="119"/>
        <v>6185141.5247999998</v>
      </c>
      <c r="AE156" s="58">
        <f t="shared" si="120"/>
        <v>121277.28479999956</v>
      </c>
      <c r="AF156" s="56">
        <f t="shared" si="121"/>
        <v>1.9999999999999928E-2</v>
      </c>
      <c r="AG156" s="58">
        <f t="shared" si="122"/>
        <v>121277.28479999956</v>
      </c>
      <c r="AH156" s="56">
        <f t="shared" si="123"/>
        <v>1.9999999999999928E-2</v>
      </c>
    </row>
    <row r="157" spans="1:34">
      <c r="A157" s="30" t="str">
        <f t="shared" si="100"/>
        <v>494</v>
      </c>
      <c r="B157" s="30">
        <f t="shared" si="101"/>
        <v>494</v>
      </c>
      <c r="C157" s="16" t="s">
        <v>166</v>
      </c>
      <c r="D157" s="155">
        <v>1835136.75</v>
      </c>
      <c r="E157" s="155">
        <v>230276</v>
      </c>
      <c r="F157" s="155">
        <f t="shared" si="124"/>
        <v>2065412.75</v>
      </c>
      <c r="G157" s="238">
        <v>317</v>
      </c>
      <c r="H157" s="239">
        <f t="shared" si="102"/>
        <v>6515.4976340694002</v>
      </c>
      <c r="I157" s="213">
        <f t="shared" si="103"/>
        <v>1.1828855953644689E-3</v>
      </c>
      <c r="J157" s="5">
        <f>Calculations!AS157</f>
        <v>2072577.7222975688</v>
      </c>
      <c r="K157" s="5">
        <f t="shared" si="104"/>
        <v>251449.18737199999</v>
      </c>
      <c r="L157" s="5">
        <f t="shared" si="105"/>
        <v>2324026.9096695688</v>
      </c>
      <c r="M157" s="146">
        <v>317</v>
      </c>
      <c r="N157" s="58">
        <f t="shared" si="106"/>
        <v>7331.3151724592071</v>
      </c>
      <c r="O157" s="36">
        <f t="shared" si="107"/>
        <v>1.2664917512812083E-3</v>
      </c>
      <c r="P157" s="211">
        <f>SUM(H157*'Front page'!$H$10)+H157</f>
        <v>7004.159956624605</v>
      </c>
      <c r="Q157" s="211">
        <f t="shared" si="108"/>
        <v>2220318.7062499998</v>
      </c>
      <c r="R157" s="218"/>
      <c r="S157" s="5">
        <f t="shared" si="109"/>
        <v>258614.15966956876</v>
      </c>
      <c r="T157" s="5" t="str">
        <f t="shared" si="110"/>
        <v/>
      </c>
      <c r="U157" s="5">
        <f t="shared" si="111"/>
        <v>154905.95624999981</v>
      </c>
      <c r="V157" s="5">
        <f t="shared" si="112"/>
        <v>-103708.20341956895</v>
      </c>
      <c r="W157" s="55">
        <f t="shared" si="113"/>
        <v>0.12521185398394039</v>
      </c>
      <c r="X157" s="6">
        <f t="shared" si="114"/>
        <v>2220318.7062499998</v>
      </c>
      <c r="Y157" s="5">
        <f t="shared" si="115"/>
        <v>2220318.7062499998</v>
      </c>
      <c r="Z157" s="57">
        <f t="shared" si="116"/>
        <v>154905.95624999981</v>
      </c>
      <c r="AA157" s="5">
        <f t="shared" si="117"/>
        <v>-103708.20341956895</v>
      </c>
      <c r="AB157" s="58">
        <f>SUM(F157*'Front page'!$H$11)+F157</f>
        <v>2106721.0049999999</v>
      </c>
      <c r="AC157" s="58">
        <f t="shared" si="118"/>
        <v>2324026.9096695688</v>
      </c>
      <c r="AD157" s="58">
        <f t="shared" si="119"/>
        <v>2220318.7062499998</v>
      </c>
      <c r="AE157" s="58">
        <f t="shared" si="120"/>
        <v>258614.15966956876</v>
      </c>
      <c r="AF157" s="56">
        <f t="shared" si="121"/>
        <v>0.12521185398394039</v>
      </c>
      <c r="AG157" s="58">
        <f t="shared" si="122"/>
        <v>154905.95624999981</v>
      </c>
      <c r="AH157" s="56">
        <f t="shared" si="123"/>
        <v>7.4999999999999914E-2</v>
      </c>
    </row>
    <row r="158" spans="1:34">
      <c r="A158" s="30" t="str">
        <f t="shared" si="100"/>
        <v>495</v>
      </c>
      <c r="B158" s="30">
        <f t="shared" si="101"/>
        <v>495</v>
      </c>
      <c r="C158" s="16" t="s">
        <v>167</v>
      </c>
      <c r="D158" s="155">
        <v>1954000.74</v>
      </c>
      <c r="E158" s="155">
        <v>362128.69</v>
      </c>
      <c r="F158" s="155">
        <f t="shared" si="124"/>
        <v>2316129.4300000002</v>
      </c>
      <c r="G158" s="238">
        <v>385.5</v>
      </c>
      <c r="H158" s="239">
        <f t="shared" si="102"/>
        <v>6008.117846952011</v>
      </c>
      <c r="I158" s="213">
        <f t="shared" si="103"/>
        <v>1.3264739165315593E-3</v>
      </c>
      <c r="J158" s="5">
        <f>Calculations!AS158</f>
        <v>2438517.3256541337</v>
      </c>
      <c r="K158" s="5">
        <f t="shared" si="104"/>
        <v>395425.33665943</v>
      </c>
      <c r="L158" s="5">
        <f t="shared" si="105"/>
        <v>2833942.6623135637</v>
      </c>
      <c r="M158" s="146">
        <v>385.5</v>
      </c>
      <c r="N158" s="58">
        <f t="shared" si="106"/>
        <v>7351.34283349822</v>
      </c>
      <c r="O158" s="36">
        <f t="shared" si="107"/>
        <v>1.544373255959564E-3</v>
      </c>
      <c r="P158" s="211">
        <f>SUM(H158*'Front page'!$H$10)+H158</f>
        <v>6458.7266854734116</v>
      </c>
      <c r="Q158" s="211">
        <f t="shared" si="108"/>
        <v>2489839.1372500001</v>
      </c>
      <c r="R158" s="218"/>
      <c r="S158" s="5">
        <f t="shared" si="109"/>
        <v>517813.23231356358</v>
      </c>
      <c r="T158" s="5" t="str">
        <f t="shared" si="110"/>
        <v/>
      </c>
      <c r="U158" s="5">
        <f t="shared" si="111"/>
        <v>173709.70724999998</v>
      </c>
      <c r="V158" s="5">
        <f t="shared" si="112"/>
        <v>-344103.5250635636</v>
      </c>
      <c r="W158" s="55">
        <f t="shared" si="113"/>
        <v>0.2235683488178653</v>
      </c>
      <c r="X158" s="6">
        <f t="shared" si="114"/>
        <v>2489839.1372500001</v>
      </c>
      <c r="Y158" s="5">
        <f t="shared" si="115"/>
        <v>2489839.1372500001</v>
      </c>
      <c r="Z158" s="57">
        <f t="shared" si="116"/>
        <v>173709.70724999998</v>
      </c>
      <c r="AA158" s="5">
        <f t="shared" si="117"/>
        <v>-344103.5250635636</v>
      </c>
      <c r="AB158" s="58">
        <f>SUM(F158*'Front page'!$H$11)+F158</f>
        <v>2362452.0186000001</v>
      </c>
      <c r="AC158" s="58">
        <f t="shared" si="118"/>
        <v>2833942.6623135637</v>
      </c>
      <c r="AD158" s="58">
        <f t="shared" si="119"/>
        <v>2489839.1372500001</v>
      </c>
      <c r="AE158" s="58">
        <f t="shared" si="120"/>
        <v>517813.23231356358</v>
      </c>
      <c r="AF158" s="56">
        <f t="shared" si="121"/>
        <v>0.2235683488178653</v>
      </c>
      <c r="AG158" s="58">
        <f t="shared" si="122"/>
        <v>173709.70724999998</v>
      </c>
      <c r="AH158" s="56">
        <f t="shared" si="123"/>
        <v>7.4999999999999983E-2</v>
      </c>
    </row>
    <row r="159" spans="1:34">
      <c r="A159" s="30" t="str">
        <f t="shared" si="100"/>
        <v>496</v>
      </c>
      <c r="B159" s="30">
        <f t="shared" si="101"/>
        <v>496</v>
      </c>
      <c r="C159" s="16" t="s">
        <v>168</v>
      </c>
      <c r="D159" s="155">
        <v>793653</v>
      </c>
      <c r="E159" s="155">
        <v>101447.63</v>
      </c>
      <c r="F159" s="155">
        <f t="shared" si="124"/>
        <v>895100.63</v>
      </c>
      <c r="G159" s="238">
        <v>131</v>
      </c>
      <c r="H159" s="239">
        <f t="shared" si="102"/>
        <v>6832.8292366412215</v>
      </c>
      <c r="I159" s="213">
        <f t="shared" si="103"/>
        <v>5.1263440764014905E-4</v>
      </c>
      <c r="J159" s="5">
        <f>Calculations!AS159</f>
        <v>1015468.0169301645</v>
      </c>
      <c r="K159" s="5">
        <f t="shared" si="104"/>
        <v>110775.43523561</v>
      </c>
      <c r="L159" s="5">
        <f t="shared" si="105"/>
        <v>1126243.4521657745</v>
      </c>
      <c r="M159" s="146">
        <v>131</v>
      </c>
      <c r="N159" s="58">
        <f t="shared" si="106"/>
        <v>8597.2782608074394</v>
      </c>
      <c r="O159" s="36">
        <f t="shared" si="107"/>
        <v>6.1375280818294338E-4</v>
      </c>
      <c r="P159" s="211">
        <f>SUM(H159*'Front page'!$H$10)+H159</f>
        <v>7345.2914293893136</v>
      </c>
      <c r="Q159" s="211">
        <f t="shared" si="108"/>
        <v>962233.17725000007</v>
      </c>
      <c r="R159" s="218"/>
      <c r="S159" s="5">
        <f t="shared" si="109"/>
        <v>231142.82216577453</v>
      </c>
      <c r="T159" s="5" t="str">
        <f t="shared" si="110"/>
        <v/>
      </c>
      <c r="U159" s="5">
        <f t="shared" si="111"/>
        <v>67132.547250000061</v>
      </c>
      <c r="V159" s="5">
        <f t="shared" si="112"/>
        <v>-164010.27491577447</v>
      </c>
      <c r="W159" s="55">
        <f t="shared" si="113"/>
        <v>0.2582311020893534</v>
      </c>
      <c r="X159" s="6">
        <f t="shared" si="114"/>
        <v>962233.17724999995</v>
      </c>
      <c r="Y159" s="5">
        <f t="shared" si="115"/>
        <v>962233.17724999995</v>
      </c>
      <c r="Z159" s="57">
        <f t="shared" si="116"/>
        <v>67132.547249999945</v>
      </c>
      <c r="AA159" s="5">
        <f t="shared" si="117"/>
        <v>-164010.27491577459</v>
      </c>
      <c r="AB159" s="58">
        <f>SUM(F159*'Front page'!$H$11)+F159</f>
        <v>913002.64260000002</v>
      </c>
      <c r="AC159" s="58">
        <f t="shared" si="118"/>
        <v>1126243.4521657745</v>
      </c>
      <c r="AD159" s="58">
        <f t="shared" si="119"/>
        <v>962233.17725000007</v>
      </c>
      <c r="AE159" s="58">
        <f t="shared" si="120"/>
        <v>231142.82216577453</v>
      </c>
      <c r="AF159" s="56">
        <f t="shared" si="121"/>
        <v>0.2582311020893534</v>
      </c>
      <c r="AG159" s="58">
        <f t="shared" si="122"/>
        <v>67132.547250000061</v>
      </c>
      <c r="AH159" s="56">
        <f t="shared" si="123"/>
        <v>7.5000000000000067E-2</v>
      </c>
    </row>
    <row r="160" spans="1:34">
      <c r="A160" s="30" t="str">
        <f t="shared" si="100"/>
        <v>497</v>
      </c>
      <c r="B160" s="30">
        <f t="shared" si="101"/>
        <v>497</v>
      </c>
      <c r="C160" s="16" t="s">
        <v>169</v>
      </c>
      <c r="D160" s="155">
        <v>964160.66999999993</v>
      </c>
      <c r="E160" s="155">
        <v>69946.06</v>
      </c>
      <c r="F160" s="155">
        <f t="shared" si="124"/>
        <v>1034106.73</v>
      </c>
      <c r="G160" s="238">
        <v>106</v>
      </c>
      <c r="H160" s="239">
        <f t="shared" si="102"/>
        <v>9755.7238679245274</v>
      </c>
      <c r="I160" s="213">
        <f t="shared" si="103"/>
        <v>5.9224479706850562E-4</v>
      </c>
      <c r="J160" s="5">
        <f>Calculations!AS160</f>
        <v>2061896.105872774</v>
      </c>
      <c r="K160" s="5">
        <f t="shared" si="104"/>
        <v>76377.390378819997</v>
      </c>
      <c r="L160" s="5">
        <f t="shared" si="105"/>
        <v>2138273.4962515938</v>
      </c>
      <c r="M160" s="146">
        <v>106</v>
      </c>
      <c r="N160" s="58">
        <f t="shared" si="106"/>
        <v>20172.391474071639</v>
      </c>
      <c r="O160" s="36">
        <f t="shared" si="107"/>
        <v>1.1652643666552522E-3</v>
      </c>
      <c r="P160" s="211">
        <f>SUM(H160*'Front page'!$H$10)+H160</f>
        <v>10487.403158018868</v>
      </c>
      <c r="Q160" s="211">
        <f t="shared" si="108"/>
        <v>1111664.7347500001</v>
      </c>
      <c r="R160" s="218"/>
      <c r="S160" s="5">
        <f t="shared" si="109"/>
        <v>1104166.7662515938</v>
      </c>
      <c r="T160" s="5" t="str">
        <f t="shared" si="110"/>
        <v/>
      </c>
      <c r="U160" s="5">
        <f t="shared" si="111"/>
        <v>77558.00475000008</v>
      </c>
      <c r="V160" s="5">
        <f t="shared" si="112"/>
        <v>-1026608.7615015937</v>
      </c>
      <c r="W160" s="55">
        <f t="shared" si="113"/>
        <v>1.0677493282067643</v>
      </c>
      <c r="X160" s="6">
        <f t="shared" si="114"/>
        <v>1111664.7347500001</v>
      </c>
      <c r="Y160" s="5">
        <f t="shared" si="115"/>
        <v>1111664.7347500001</v>
      </c>
      <c r="Z160" s="57">
        <f t="shared" si="116"/>
        <v>77558.00475000008</v>
      </c>
      <c r="AA160" s="5">
        <f t="shared" si="117"/>
        <v>-1026608.7615015937</v>
      </c>
      <c r="AB160" s="58">
        <f>SUM(F160*'Front page'!$H$11)+F160</f>
        <v>1054788.8646</v>
      </c>
      <c r="AC160" s="58">
        <f t="shared" si="118"/>
        <v>2138273.4962515938</v>
      </c>
      <c r="AD160" s="58">
        <f t="shared" si="119"/>
        <v>1111664.7347500001</v>
      </c>
      <c r="AE160" s="58">
        <f t="shared" si="120"/>
        <v>1104166.7662515938</v>
      </c>
      <c r="AF160" s="56">
        <f t="shared" si="121"/>
        <v>1.0677493282067643</v>
      </c>
      <c r="AG160" s="58">
        <f t="shared" si="122"/>
        <v>77558.00475000008</v>
      </c>
      <c r="AH160" s="56">
        <f t="shared" si="123"/>
        <v>7.500000000000008E-2</v>
      </c>
    </row>
    <row r="161" spans="1:34">
      <c r="A161" s="225">
        <v>498</v>
      </c>
      <c r="B161">
        <f t="shared" si="101"/>
        <v>498</v>
      </c>
      <c r="C161" s="226" t="s">
        <v>631</v>
      </c>
      <c r="D161" s="155"/>
      <c r="E161" s="155"/>
      <c r="F161" s="155"/>
      <c r="G161" s="238"/>
      <c r="H161" s="239"/>
      <c r="I161" s="213"/>
      <c r="J161" s="5">
        <f>Calculations!AS161</f>
        <v>1383499.6829799255</v>
      </c>
      <c r="K161" s="5">
        <f t="shared" si="104"/>
        <v>0</v>
      </c>
      <c r="L161" s="5">
        <f t="shared" si="105"/>
        <v>1383499.6829799255</v>
      </c>
      <c r="M161" s="146">
        <v>107</v>
      </c>
      <c r="N161" s="58">
        <f t="shared" si="106"/>
        <v>12929.903579251641</v>
      </c>
      <c r="O161" s="36">
        <f t="shared" si="107"/>
        <v>7.5394606194270348E-4</v>
      </c>
      <c r="P161" s="211">
        <f>SUM(H161*'Front page'!$H$10)+H161</f>
        <v>0</v>
      </c>
      <c r="Q161" s="211">
        <f t="shared" si="108"/>
        <v>0</v>
      </c>
      <c r="R161" s="218"/>
      <c r="S161" s="5">
        <f t="shared" si="109"/>
        <v>1383499.6829799255</v>
      </c>
      <c r="T161" s="5" t="str">
        <f t="shared" si="110"/>
        <v/>
      </c>
      <c r="U161" s="5">
        <f t="shared" si="111"/>
        <v>0</v>
      </c>
      <c r="V161" s="5">
        <f t="shared" si="112"/>
        <v>-1383499.6829799255</v>
      </c>
      <c r="W161" s="55" t="e">
        <f t="shared" si="113"/>
        <v>#DIV/0!</v>
      </c>
      <c r="X161" s="6">
        <f t="shared" si="114"/>
        <v>0</v>
      </c>
      <c r="Y161" s="5">
        <f t="shared" si="115"/>
        <v>0</v>
      </c>
      <c r="Z161" s="57">
        <f t="shared" si="116"/>
        <v>0</v>
      </c>
      <c r="AA161" s="5">
        <f t="shared" si="117"/>
        <v>-1383499.6829799255</v>
      </c>
      <c r="AB161" s="58">
        <f>SUM(F161*'Front page'!$H$11)+F161</f>
        <v>0</v>
      </c>
      <c r="AC161" s="58">
        <f t="shared" si="118"/>
        <v>1383499.6829799255</v>
      </c>
      <c r="AD161" s="58">
        <f t="shared" si="119"/>
        <v>0</v>
      </c>
      <c r="AE161" s="58">
        <f t="shared" si="120"/>
        <v>1383499.6829799255</v>
      </c>
      <c r="AF161" s="56" t="e">
        <f t="shared" si="121"/>
        <v>#DIV/0!</v>
      </c>
      <c r="AG161" s="58">
        <f t="shared" si="122"/>
        <v>0</v>
      </c>
      <c r="AH161" s="56" t="e">
        <f t="shared" si="123"/>
        <v>#DIV/0!</v>
      </c>
    </row>
    <row r="162" spans="1:34">
      <c r="A162" s="225">
        <v>499</v>
      </c>
      <c r="B162">
        <f t="shared" si="101"/>
        <v>499</v>
      </c>
      <c r="C162" s="226" t="s">
        <v>632</v>
      </c>
      <c r="D162" s="155"/>
      <c r="E162" s="155"/>
      <c r="F162" s="155"/>
      <c r="G162" s="238"/>
      <c r="H162" s="239"/>
      <c r="I162" s="213"/>
      <c r="J162" s="5">
        <f>Calculations!AS162</f>
        <v>1212540.2582238221</v>
      </c>
      <c r="K162" s="5">
        <f t="shared" si="104"/>
        <v>0</v>
      </c>
      <c r="L162" s="5">
        <f t="shared" si="105"/>
        <v>1212540.2582238221</v>
      </c>
      <c r="M162" s="146">
        <v>108</v>
      </c>
      <c r="N162" s="58">
        <f t="shared" si="106"/>
        <v>11227.224613183538</v>
      </c>
      <c r="O162" s="36">
        <f t="shared" si="107"/>
        <v>6.6078074601778154E-4</v>
      </c>
      <c r="P162" s="211">
        <f>SUM(H162*'Front page'!$H$10)+H162</f>
        <v>0</v>
      </c>
      <c r="Q162" s="211">
        <f t="shared" si="108"/>
        <v>0</v>
      </c>
      <c r="R162" s="218"/>
      <c r="S162" s="5">
        <f t="shared" si="109"/>
        <v>1212540.2582238221</v>
      </c>
      <c r="T162" s="5" t="str">
        <f t="shared" si="110"/>
        <v/>
      </c>
      <c r="U162" s="5">
        <f t="shared" si="111"/>
        <v>0</v>
      </c>
      <c r="V162" s="5">
        <f t="shared" si="112"/>
        <v>-1212540.2582238221</v>
      </c>
      <c r="W162" s="55" t="e">
        <f t="shared" si="113"/>
        <v>#DIV/0!</v>
      </c>
      <c r="X162" s="6">
        <f t="shared" si="114"/>
        <v>0</v>
      </c>
      <c r="Y162" s="5">
        <f t="shared" si="115"/>
        <v>0</v>
      </c>
      <c r="Z162" s="57">
        <f t="shared" si="116"/>
        <v>0</v>
      </c>
      <c r="AA162" s="5">
        <f t="shared" si="117"/>
        <v>-1212540.2582238221</v>
      </c>
      <c r="AB162" s="58">
        <f>SUM(F162*'Front page'!$H$11)+F162</f>
        <v>0</v>
      </c>
      <c r="AC162" s="58">
        <f t="shared" si="118"/>
        <v>1212540.2582238221</v>
      </c>
      <c r="AD162" s="58">
        <f t="shared" si="119"/>
        <v>0</v>
      </c>
      <c r="AE162" s="58">
        <f t="shared" si="120"/>
        <v>1212540.2582238221</v>
      </c>
      <c r="AF162" s="56" t="e">
        <f t="shared" si="121"/>
        <v>#DIV/0!</v>
      </c>
      <c r="AG162" s="58">
        <f t="shared" si="122"/>
        <v>0</v>
      </c>
      <c r="AH162" s="56" t="e">
        <f t="shared" si="123"/>
        <v>#DIV/0!</v>
      </c>
    </row>
    <row r="163" spans="1:34">
      <c r="A163" s="225">
        <v>511</v>
      </c>
      <c r="B163">
        <f t="shared" ref="B163:B194" si="125">A163*1</f>
        <v>511</v>
      </c>
      <c r="C163" s="226" t="s">
        <v>633</v>
      </c>
      <c r="D163" s="155"/>
      <c r="E163" s="155"/>
      <c r="F163" s="155"/>
      <c r="G163" s="238"/>
      <c r="H163" s="239"/>
      <c r="I163" s="213"/>
      <c r="J163" s="5">
        <f>Calculations!AS163</f>
        <v>1411298.462819549</v>
      </c>
      <c r="K163" s="5">
        <f t="shared" ref="K163:K175" si="126">E163*1.091947</f>
        <v>0</v>
      </c>
      <c r="L163" s="5">
        <f t="shared" ref="L163:L194" si="127">J163+K163</f>
        <v>1411298.462819549</v>
      </c>
      <c r="M163" s="146">
        <v>109</v>
      </c>
      <c r="N163" s="58">
        <f t="shared" ref="N163:N194" si="128">SUM(L163/M163)</f>
        <v>12947.692319445403</v>
      </c>
      <c r="O163" s="36">
        <f t="shared" ref="O163:O175" si="129">L163/$L$177</f>
        <v>7.6909516594665466E-4</v>
      </c>
      <c r="P163" s="211">
        <f>SUM(H163*'Front page'!$H$10)+H163</f>
        <v>0</v>
      </c>
      <c r="Q163" s="211">
        <f t="shared" ref="Q163:Q194" si="130">MIN(N163,P163)*M163</f>
        <v>0</v>
      </c>
      <c r="R163" s="218"/>
      <c r="S163" s="5">
        <f t="shared" ref="S163:S175" si="131">L163-F163</f>
        <v>1411298.462819549</v>
      </c>
      <c r="T163" s="5" t="str">
        <f t="shared" ref="T163:T194" si="132">IF(S163&lt;0,S163,"")</f>
        <v/>
      </c>
      <c r="U163" s="5">
        <f t="shared" ref="U163:U175" si="133">SUM(Q163-F163)</f>
        <v>0</v>
      </c>
      <c r="V163" s="5">
        <f t="shared" ref="V163:V175" si="134">SUM(Q163-L163)</f>
        <v>-1411298.462819549</v>
      </c>
      <c r="W163" s="55" t="e">
        <f t="shared" ref="W163:W175" si="135">SUM(S163/F163)</f>
        <v>#DIV/0!</v>
      </c>
      <c r="X163" s="6">
        <f t="shared" ref="X163:X175" si="136">SUM(F163*$X$1)+F163</f>
        <v>0</v>
      </c>
      <c r="Y163" s="5">
        <f t="shared" ref="Y163:Y194" si="137">MIN(L163,X163)</f>
        <v>0</v>
      </c>
      <c r="Z163" s="57">
        <f t="shared" ref="Z163:Z194" si="138">SUM(Y163-F163)</f>
        <v>0</v>
      </c>
      <c r="AA163" s="5">
        <f t="shared" ref="AA163:AA175" si="139">SUM(Y163-L163)</f>
        <v>-1411298.462819549</v>
      </c>
      <c r="AB163" s="58">
        <f>SUM(F163*'Front page'!$H$11)+F163</f>
        <v>0</v>
      </c>
      <c r="AC163" s="58">
        <f t="shared" ref="AC163:AC194" si="140">MAX(AB163,L163)</f>
        <v>1411298.462819549</v>
      </c>
      <c r="AD163" s="58">
        <f t="shared" ref="AD163:AD175" si="141">MAX(Q163,AB163)</f>
        <v>0</v>
      </c>
      <c r="AE163" s="58">
        <f t="shared" ref="AE163:AE175" si="142">SUM(AC163-F163)</f>
        <v>1411298.462819549</v>
      </c>
      <c r="AF163" s="56" t="e">
        <f t="shared" ref="AF163:AF194" si="143">SUM(AE163/F163)</f>
        <v>#DIV/0!</v>
      </c>
      <c r="AG163" s="58">
        <f t="shared" ref="AG163:AG175" si="144">SUM(AD163-F163)</f>
        <v>0</v>
      </c>
      <c r="AH163" s="56" t="e">
        <f t="shared" ref="AH163:AH194" si="145">SUM(AG163/F163)</f>
        <v>#DIV/0!</v>
      </c>
    </row>
    <row r="164" spans="1:34">
      <c r="A164" s="225">
        <v>513</v>
      </c>
      <c r="B164">
        <f t="shared" si="125"/>
        <v>513</v>
      </c>
      <c r="C164" s="226" t="s">
        <v>634</v>
      </c>
      <c r="D164" s="155"/>
      <c r="E164" s="155"/>
      <c r="F164" s="155"/>
      <c r="G164" s="238"/>
      <c r="H164" s="239"/>
      <c r="I164" s="213"/>
      <c r="J164" s="5">
        <f>Calculations!AS164</f>
        <v>1581154.2405808643</v>
      </c>
      <c r="K164" s="5">
        <f t="shared" si="126"/>
        <v>0</v>
      </c>
      <c r="L164" s="5">
        <f t="shared" si="127"/>
        <v>1581154.2405808643</v>
      </c>
      <c r="M164" s="146">
        <v>110</v>
      </c>
      <c r="N164" s="58">
        <f t="shared" si="128"/>
        <v>14374.129459826039</v>
      </c>
      <c r="O164" s="36">
        <f t="shared" si="129"/>
        <v>8.6165904313202939E-4</v>
      </c>
      <c r="P164" s="211">
        <f>SUM(H164*'Front page'!$H$10)+H164</f>
        <v>0</v>
      </c>
      <c r="Q164" s="211">
        <f t="shared" si="130"/>
        <v>0</v>
      </c>
      <c r="R164" s="218"/>
      <c r="S164" s="5">
        <f t="shared" si="131"/>
        <v>1581154.2405808643</v>
      </c>
      <c r="T164" s="5" t="str">
        <f t="shared" si="132"/>
        <v/>
      </c>
      <c r="U164" s="5">
        <f t="shared" si="133"/>
        <v>0</v>
      </c>
      <c r="V164" s="5">
        <f t="shared" si="134"/>
        <v>-1581154.2405808643</v>
      </c>
      <c r="W164" s="55" t="e">
        <f t="shared" si="135"/>
        <v>#DIV/0!</v>
      </c>
      <c r="X164" s="6">
        <f t="shared" si="136"/>
        <v>0</v>
      </c>
      <c r="Y164" s="5">
        <f t="shared" si="137"/>
        <v>0</v>
      </c>
      <c r="Z164" s="57">
        <f t="shared" si="138"/>
        <v>0</v>
      </c>
      <c r="AA164" s="5">
        <f t="shared" si="139"/>
        <v>-1581154.2405808643</v>
      </c>
      <c r="AB164" s="58">
        <f>SUM(F164*'Front page'!$H$11)+F164</f>
        <v>0</v>
      </c>
      <c r="AC164" s="58">
        <f t="shared" si="140"/>
        <v>1581154.2405808643</v>
      </c>
      <c r="AD164" s="58">
        <f t="shared" si="141"/>
        <v>0</v>
      </c>
      <c r="AE164" s="58">
        <f t="shared" si="142"/>
        <v>1581154.2405808643</v>
      </c>
      <c r="AF164" s="56" t="e">
        <f t="shared" si="143"/>
        <v>#DIV/0!</v>
      </c>
      <c r="AG164" s="58">
        <f t="shared" si="144"/>
        <v>0</v>
      </c>
      <c r="AH164" s="56" t="e">
        <f t="shared" si="145"/>
        <v>#DIV/0!</v>
      </c>
    </row>
    <row r="165" spans="1:34">
      <c r="A165" s="225">
        <v>518</v>
      </c>
      <c r="B165">
        <f t="shared" si="125"/>
        <v>518</v>
      </c>
      <c r="C165" s="227" t="s">
        <v>635</v>
      </c>
      <c r="D165" s="155"/>
      <c r="E165" s="155"/>
      <c r="F165" s="155"/>
      <c r="G165" s="238"/>
      <c r="H165" s="239"/>
      <c r="I165" s="213"/>
      <c r="J165" s="5">
        <f>Calculations!AS165</f>
        <v>1642279.6828886163</v>
      </c>
      <c r="K165" s="5">
        <f t="shared" si="126"/>
        <v>0</v>
      </c>
      <c r="L165" s="5">
        <f t="shared" si="127"/>
        <v>1642279.6828886163</v>
      </c>
      <c r="M165" s="146">
        <v>111</v>
      </c>
      <c r="N165" s="58">
        <f t="shared" si="128"/>
        <v>14795.312458456003</v>
      </c>
      <c r="O165" s="36">
        <f t="shared" si="129"/>
        <v>8.9496970238217989E-4</v>
      </c>
      <c r="P165" s="211">
        <f>SUM(H165*'Front page'!$H$10)+H165</f>
        <v>0</v>
      </c>
      <c r="Q165" s="211">
        <f t="shared" si="130"/>
        <v>0</v>
      </c>
      <c r="R165" s="218"/>
      <c r="S165" s="5">
        <f t="shared" si="131"/>
        <v>1642279.6828886163</v>
      </c>
      <c r="T165" s="5" t="str">
        <f t="shared" si="132"/>
        <v/>
      </c>
      <c r="U165" s="5">
        <f t="shared" si="133"/>
        <v>0</v>
      </c>
      <c r="V165" s="5">
        <f t="shared" si="134"/>
        <v>-1642279.6828886163</v>
      </c>
      <c r="W165" s="55" t="e">
        <f t="shared" si="135"/>
        <v>#DIV/0!</v>
      </c>
      <c r="X165" s="6">
        <f t="shared" si="136"/>
        <v>0</v>
      </c>
      <c r="Y165" s="5">
        <f t="shared" si="137"/>
        <v>0</v>
      </c>
      <c r="Z165" s="57">
        <f t="shared" si="138"/>
        <v>0</v>
      </c>
      <c r="AA165" s="5">
        <f t="shared" si="139"/>
        <v>-1642279.6828886163</v>
      </c>
      <c r="AB165" s="58">
        <f>SUM(F165*'Front page'!$H$11)+F165</f>
        <v>0</v>
      </c>
      <c r="AC165" s="58">
        <f t="shared" si="140"/>
        <v>1642279.6828886163</v>
      </c>
      <c r="AD165" s="58">
        <f t="shared" si="141"/>
        <v>0</v>
      </c>
      <c r="AE165" s="58">
        <f t="shared" si="142"/>
        <v>1642279.6828886163</v>
      </c>
      <c r="AF165" s="56" t="e">
        <f t="shared" si="143"/>
        <v>#DIV/0!</v>
      </c>
      <c r="AG165" s="58">
        <f t="shared" si="144"/>
        <v>0</v>
      </c>
      <c r="AH165" s="56" t="e">
        <f t="shared" si="145"/>
        <v>#DIV/0!</v>
      </c>
    </row>
    <row r="166" spans="1:34">
      <c r="A166" t="str">
        <f t="shared" ref="A166:A175" si="146">RIGHT(C166,3)</f>
        <v>555</v>
      </c>
      <c r="B166">
        <f t="shared" si="125"/>
        <v>555</v>
      </c>
      <c r="C166" s="16" t="s">
        <v>170</v>
      </c>
      <c r="D166" s="155">
        <v>1029069.7599999999</v>
      </c>
      <c r="E166" s="155">
        <v>213112.71</v>
      </c>
      <c r="F166" s="155">
        <f t="shared" ref="F166:F175" si="147">D166+E166</f>
        <v>1242182.47</v>
      </c>
      <c r="G166" s="238">
        <v>120</v>
      </c>
      <c r="H166" s="239">
        <f t="shared" ref="H166:H175" si="148">SUM(F166/G166)</f>
        <v>10351.520583333333</v>
      </c>
      <c r="I166" s="213">
        <f t="shared" ref="I166:I175" si="149">F166/$F$177</f>
        <v>7.1141216232796891E-4</v>
      </c>
      <c r="J166" s="5">
        <f>Calculations!AS166</f>
        <v>1127054.1005461693</v>
      </c>
      <c r="K166" s="5">
        <f t="shared" si="126"/>
        <v>232707.78434637</v>
      </c>
      <c r="L166" s="5">
        <f t="shared" si="127"/>
        <v>1359761.8848925394</v>
      </c>
      <c r="M166" s="146">
        <v>120</v>
      </c>
      <c r="N166" s="58">
        <f t="shared" si="128"/>
        <v>11331.349040771162</v>
      </c>
      <c r="O166" s="36">
        <f t="shared" si="129"/>
        <v>7.4101001316195683E-4</v>
      </c>
      <c r="P166" s="211">
        <f>SUM(H166*'Front page'!$H$10)+H166</f>
        <v>11127.884627083333</v>
      </c>
      <c r="Q166" s="211">
        <f t="shared" si="130"/>
        <v>1335346.1552499998</v>
      </c>
      <c r="R166" s="218"/>
      <c r="S166" s="5">
        <f t="shared" si="131"/>
        <v>117579.41489253938</v>
      </c>
      <c r="T166" s="5" t="str">
        <f t="shared" si="132"/>
        <v/>
      </c>
      <c r="U166" s="5">
        <f t="shared" si="133"/>
        <v>93163.685249999864</v>
      </c>
      <c r="V166" s="5">
        <f t="shared" si="134"/>
        <v>-24415.729642539518</v>
      </c>
      <c r="W166" s="55">
        <f t="shared" si="135"/>
        <v>9.465550974370085E-2</v>
      </c>
      <c r="X166" s="6">
        <f t="shared" si="136"/>
        <v>1335346.1552500001</v>
      </c>
      <c r="Y166" s="5">
        <f t="shared" si="137"/>
        <v>1335346.1552500001</v>
      </c>
      <c r="Z166" s="57">
        <f t="shared" si="138"/>
        <v>93163.685250000097</v>
      </c>
      <c r="AA166" s="5">
        <f t="shared" si="139"/>
        <v>-24415.729642539285</v>
      </c>
      <c r="AB166" s="58">
        <f>SUM(F166*'Front page'!$H$11)+F166</f>
        <v>1267026.1194</v>
      </c>
      <c r="AC166" s="58">
        <f t="shared" si="140"/>
        <v>1359761.8848925394</v>
      </c>
      <c r="AD166" s="58">
        <f t="shared" si="141"/>
        <v>1335346.1552499998</v>
      </c>
      <c r="AE166" s="58">
        <f t="shared" si="142"/>
        <v>117579.41489253938</v>
      </c>
      <c r="AF166" s="56">
        <f t="shared" si="143"/>
        <v>9.465550974370085E-2</v>
      </c>
      <c r="AG166" s="58">
        <f t="shared" si="144"/>
        <v>93163.685249999864</v>
      </c>
      <c r="AH166" s="56">
        <f t="shared" si="145"/>
        <v>7.4999999999999886E-2</v>
      </c>
    </row>
    <row r="167" spans="1:34">
      <c r="A167" s="30" t="str">
        <f t="shared" si="146"/>
        <v>559</v>
      </c>
      <c r="B167" s="30">
        <f t="shared" si="125"/>
        <v>559</v>
      </c>
      <c r="C167" s="16" t="s">
        <v>171</v>
      </c>
      <c r="D167" s="155">
        <v>2579401.7299999995</v>
      </c>
      <c r="E167" s="155">
        <v>455269.75</v>
      </c>
      <c r="F167" s="155">
        <f t="shared" si="147"/>
        <v>3034671.4799999995</v>
      </c>
      <c r="G167" s="238">
        <v>362</v>
      </c>
      <c r="H167" s="239">
        <f t="shared" si="148"/>
        <v>8383.0703867403299</v>
      </c>
      <c r="I167" s="213">
        <f t="shared" si="149"/>
        <v>1.7379911982994072E-3</v>
      </c>
      <c r="J167" s="5">
        <f>Calculations!AS167</f>
        <v>2625791.7929818723</v>
      </c>
      <c r="K167" s="5">
        <f t="shared" si="126"/>
        <v>497130.43770324998</v>
      </c>
      <c r="L167" s="5">
        <f t="shared" si="127"/>
        <v>3122922.2306851223</v>
      </c>
      <c r="M167" s="146">
        <v>362</v>
      </c>
      <c r="N167" s="58">
        <f t="shared" si="128"/>
        <v>8626.8569908428799</v>
      </c>
      <c r="O167" s="36">
        <f t="shared" si="129"/>
        <v>1.701854323888945E-3</v>
      </c>
      <c r="P167" s="211">
        <f>SUM(H167*'Front page'!$H$10)+H167</f>
        <v>9011.8006657458554</v>
      </c>
      <c r="Q167" s="211">
        <f t="shared" si="130"/>
        <v>3122922.2306851223</v>
      </c>
      <c r="R167" s="218"/>
      <c r="S167" s="5">
        <f t="shared" si="131"/>
        <v>88250.750685122795</v>
      </c>
      <c r="T167" s="5" t="str">
        <f t="shared" si="132"/>
        <v/>
      </c>
      <c r="U167" s="5">
        <f t="shared" si="133"/>
        <v>88250.750685122795</v>
      </c>
      <c r="V167" s="5">
        <f t="shared" si="134"/>
        <v>0</v>
      </c>
      <c r="W167" s="55">
        <f t="shared" si="135"/>
        <v>2.9080825145897774E-2</v>
      </c>
      <c r="X167" s="6">
        <f t="shared" si="136"/>
        <v>3262271.8409999995</v>
      </c>
      <c r="Y167" s="5">
        <f t="shared" si="137"/>
        <v>3122922.2306851223</v>
      </c>
      <c r="Z167" s="57">
        <f t="shared" si="138"/>
        <v>88250.750685122795</v>
      </c>
      <c r="AA167" s="5">
        <f t="shared" si="139"/>
        <v>0</v>
      </c>
      <c r="AB167" s="58">
        <f>SUM(F167*'Front page'!$H$11)+F167</f>
        <v>3095364.9095999994</v>
      </c>
      <c r="AC167" s="58">
        <f t="shared" si="140"/>
        <v>3122922.2306851223</v>
      </c>
      <c r="AD167" s="58">
        <f t="shared" si="141"/>
        <v>3122922.2306851223</v>
      </c>
      <c r="AE167" s="58">
        <f t="shared" si="142"/>
        <v>88250.750685122795</v>
      </c>
      <c r="AF167" s="56">
        <f t="shared" si="143"/>
        <v>2.9080825145897774E-2</v>
      </c>
      <c r="AG167" s="58">
        <f t="shared" si="144"/>
        <v>88250.750685122795</v>
      </c>
      <c r="AH167" s="56">
        <f t="shared" si="145"/>
        <v>2.9080825145897774E-2</v>
      </c>
    </row>
    <row r="168" spans="1:34">
      <c r="A168" s="30" t="str">
        <f t="shared" si="146"/>
        <v>751</v>
      </c>
      <c r="B168" s="30">
        <f t="shared" si="125"/>
        <v>751</v>
      </c>
      <c r="C168" s="16" t="s">
        <v>172</v>
      </c>
      <c r="D168" s="155">
        <v>1634015.1099999999</v>
      </c>
      <c r="E168" s="155">
        <v>150942.64000000001</v>
      </c>
      <c r="F168" s="155">
        <f t="shared" si="147"/>
        <v>1784957.75</v>
      </c>
      <c r="G168" s="238">
        <v>204</v>
      </c>
      <c r="H168" s="239">
        <f t="shared" si="148"/>
        <v>8749.7928921568619</v>
      </c>
      <c r="I168" s="213">
        <f t="shared" si="149"/>
        <v>1.0222657969014537E-3</v>
      </c>
      <c r="J168" s="5">
        <f>Calculations!AS168</f>
        <v>1612109.4371653744</v>
      </c>
      <c r="K168" s="5">
        <f t="shared" si="126"/>
        <v>164821.36292008002</v>
      </c>
      <c r="L168" s="5">
        <f t="shared" si="127"/>
        <v>1776930.8000854545</v>
      </c>
      <c r="M168" s="146">
        <v>204</v>
      </c>
      <c r="N168" s="58">
        <f t="shared" si="128"/>
        <v>8710.4450984581108</v>
      </c>
      <c r="O168" s="36">
        <f t="shared" si="129"/>
        <v>9.6834859852191579E-4</v>
      </c>
      <c r="P168" s="211">
        <f>SUM(H168*'Front page'!$H$10)+H168</f>
        <v>9406.0273590686265</v>
      </c>
      <c r="Q168" s="211">
        <f t="shared" si="130"/>
        <v>1776930.8000854547</v>
      </c>
      <c r="R168" s="218"/>
      <c r="S168" s="5">
        <f t="shared" si="131"/>
        <v>-8026.9499145455193</v>
      </c>
      <c r="T168" s="5">
        <f t="shared" si="132"/>
        <v>-8026.9499145455193</v>
      </c>
      <c r="U168" s="5">
        <f t="shared" si="133"/>
        <v>-8026.9499145452864</v>
      </c>
      <c r="V168" s="5">
        <f t="shared" si="134"/>
        <v>2.3283064365386963E-10</v>
      </c>
      <c r="W168" s="55">
        <f t="shared" si="135"/>
        <v>-4.4969971499580416E-3</v>
      </c>
      <c r="X168" s="6">
        <f t="shared" si="136"/>
        <v>1918829.58125</v>
      </c>
      <c r="Y168" s="5">
        <f t="shared" si="137"/>
        <v>1776930.8000854545</v>
      </c>
      <c r="Z168" s="57">
        <f t="shared" si="138"/>
        <v>-8026.9499145455193</v>
      </c>
      <c r="AA168" s="5">
        <f t="shared" si="139"/>
        <v>0</v>
      </c>
      <c r="AB168" s="58">
        <f>SUM(F168*'Front page'!$H$11)+F168</f>
        <v>1820656.905</v>
      </c>
      <c r="AC168" s="58">
        <f t="shared" si="140"/>
        <v>1820656.905</v>
      </c>
      <c r="AD168" s="58">
        <f t="shared" si="141"/>
        <v>1820656.905</v>
      </c>
      <c r="AE168" s="58">
        <f t="shared" si="142"/>
        <v>35699.155000000028</v>
      </c>
      <c r="AF168" s="56">
        <f t="shared" si="143"/>
        <v>2.0000000000000014E-2</v>
      </c>
      <c r="AG168" s="58">
        <f t="shared" si="144"/>
        <v>35699.155000000028</v>
      </c>
      <c r="AH168" s="56">
        <f t="shared" si="145"/>
        <v>2.0000000000000014E-2</v>
      </c>
    </row>
    <row r="169" spans="1:34">
      <c r="A169" s="30" t="str">
        <f t="shared" si="146"/>
        <v>768</v>
      </c>
      <c r="B169" s="30">
        <f t="shared" si="125"/>
        <v>768</v>
      </c>
      <c r="C169" s="16" t="s">
        <v>173</v>
      </c>
      <c r="D169" s="155">
        <v>1746079</v>
      </c>
      <c r="E169" s="155">
        <v>191218</v>
      </c>
      <c r="F169" s="155">
        <f t="shared" si="147"/>
        <v>1937297</v>
      </c>
      <c r="G169" s="238">
        <v>201</v>
      </c>
      <c r="H169" s="239">
        <f t="shared" si="148"/>
        <v>9638.2935323383081</v>
      </c>
      <c r="I169" s="213">
        <f t="shared" si="149"/>
        <v>1.109512234415518E-3</v>
      </c>
      <c r="J169" s="5">
        <f>Calculations!AS169</f>
        <v>1629824.7274195217</v>
      </c>
      <c r="K169" s="5">
        <f t="shared" si="126"/>
        <v>208799.92144599999</v>
      </c>
      <c r="L169" s="5">
        <f t="shared" si="127"/>
        <v>1838624.6488655217</v>
      </c>
      <c r="M169" s="146">
        <v>201</v>
      </c>
      <c r="N169" s="58">
        <f t="shared" si="128"/>
        <v>9147.3863127637887</v>
      </c>
      <c r="O169" s="36">
        <f t="shared" si="129"/>
        <v>1.0019690141288308E-3</v>
      </c>
      <c r="P169" s="211">
        <f>SUM(H169*'Front page'!$H$10)+H169</f>
        <v>10361.165547263681</v>
      </c>
      <c r="Q169" s="211">
        <f t="shared" si="130"/>
        <v>1838624.6488655214</v>
      </c>
      <c r="R169" s="218"/>
      <c r="S169" s="5">
        <f t="shared" si="131"/>
        <v>-98672.351134478347</v>
      </c>
      <c r="T169" s="5">
        <f t="shared" si="132"/>
        <v>-98672.351134478347</v>
      </c>
      <c r="U169" s="5">
        <f t="shared" si="133"/>
        <v>-98672.35113447858</v>
      </c>
      <c r="V169" s="5">
        <f t="shared" si="134"/>
        <v>-2.3283064365386963E-10</v>
      </c>
      <c r="W169" s="55">
        <f t="shared" si="135"/>
        <v>-5.0933001565830305E-2</v>
      </c>
      <c r="X169" s="6">
        <f t="shared" si="136"/>
        <v>2082594.2749999999</v>
      </c>
      <c r="Y169" s="5">
        <f t="shared" si="137"/>
        <v>1838624.6488655217</v>
      </c>
      <c r="Z169" s="57">
        <f t="shared" si="138"/>
        <v>-98672.351134478347</v>
      </c>
      <c r="AA169" s="5">
        <f t="shared" si="139"/>
        <v>0</v>
      </c>
      <c r="AB169" s="58">
        <f>SUM(F169*'Front page'!$H$11)+F169</f>
        <v>1976042.94</v>
      </c>
      <c r="AC169" s="58">
        <f t="shared" si="140"/>
        <v>1976042.94</v>
      </c>
      <c r="AD169" s="58">
        <f t="shared" si="141"/>
        <v>1976042.94</v>
      </c>
      <c r="AE169" s="58">
        <f t="shared" si="142"/>
        <v>38745.939999999944</v>
      </c>
      <c r="AF169" s="56">
        <f t="shared" si="143"/>
        <v>1.9999999999999973E-2</v>
      </c>
      <c r="AG169" s="58">
        <f t="shared" si="144"/>
        <v>38745.939999999944</v>
      </c>
      <c r="AH169" s="56">
        <f t="shared" si="145"/>
        <v>1.9999999999999973E-2</v>
      </c>
    </row>
    <row r="170" spans="1:34">
      <c r="A170" s="30" t="str">
        <f t="shared" si="146"/>
        <v>785</v>
      </c>
      <c r="B170" s="30">
        <f t="shared" si="125"/>
        <v>785</v>
      </c>
      <c r="C170" s="16" t="s">
        <v>174</v>
      </c>
      <c r="D170" s="155">
        <v>1667972.15</v>
      </c>
      <c r="E170" s="155">
        <v>196356.32</v>
      </c>
      <c r="F170" s="155">
        <f t="shared" si="147"/>
        <v>1864328.47</v>
      </c>
      <c r="G170" s="238">
        <v>193</v>
      </c>
      <c r="H170" s="239">
        <f t="shared" si="148"/>
        <v>9659.7330051813478</v>
      </c>
      <c r="I170" s="213">
        <f t="shared" si="149"/>
        <v>1.0677223195174328E-3</v>
      </c>
      <c r="J170" s="5">
        <f>Calculations!AS170</f>
        <v>1584067.245143007</v>
      </c>
      <c r="K170" s="5">
        <f t="shared" si="126"/>
        <v>214410.69455504001</v>
      </c>
      <c r="L170" s="5">
        <f t="shared" si="127"/>
        <v>1798477.939698047</v>
      </c>
      <c r="M170" s="146">
        <v>193</v>
      </c>
      <c r="N170" s="58">
        <f t="shared" si="128"/>
        <v>9318.5385476582742</v>
      </c>
      <c r="O170" s="36">
        <f t="shared" si="129"/>
        <v>9.8009083544245684E-4</v>
      </c>
      <c r="P170" s="211">
        <f>SUM(H170*'Front page'!$H$10)+H170</f>
        <v>10384.21298056995</v>
      </c>
      <c r="Q170" s="211">
        <f t="shared" si="130"/>
        <v>1798477.939698047</v>
      </c>
      <c r="R170" s="218"/>
      <c r="S170" s="5">
        <f t="shared" si="131"/>
        <v>-65850.530301952967</v>
      </c>
      <c r="T170" s="5">
        <f t="shared" si="132"/>
        <v>-65850.530301952967</v>
      </c>
      <c r="U170" s="5">
        <f t="shared" si="133"/>
        <v>-65850.530301952967</v>
      </c>
      <c r="V170" s="5">
        <f t="shared" si="134"/>
        <v>0</v>
      </c>
      <c r="W170" s="55">
        <f t="shared" si="135"/>
        <v>-3.5321313471092873E-2</v>
      </c>
      <c r="X170" s="6">
        <f t="shared" si="136"/>
        <v>2004153.10525</v>
      </c>
      <c r="Y170" s="5">
        <f t="shared" si="137"/>
        <v>1798477.939698047</v>
      </c>
      <c r="Z170" s="57">
        <f t="shared" si="138"/>
        <v>-65850.530301952967</v>
      </c>
      <c r="AA170" s="5">
        <f t="shared" si="139"/>
        <v>0</v>
      </c>
      <c r="AB170" s="58">
        <f>SUM(F170*'Front page'!$H$11)+F170</f>
        <v>1901615.0393999999</v>
      </c>
      <c r="AC170" s="58">
        <f t="shared" si="140"/>
        <v>1901615.0393999999</v>
      </c>
      <c r="AD170" s="58">
        <f t="shared" si="141"/>
        <v>1901615.0393999999</v>
      </c>
      <c r="AE170" s="58">
        <f t="shared" si="142"/>
        <v>37286.56939999992</v>
      </c>
      <c r="AF170" s="56">
        <f t="shared" si="143"/>
        <v>1.9999999999999959E-2</v>
      </c>
      <c r="AG170" s="58">
        <f t="shared" si="144"/>
        <v>37286.56939999992</v>
      </c>
      <c r="AH170" s="56">
        <f t="shared" si="145"/>
        <v>1.9999999999999959E-2</v>
      </c>
    </row>
    <row r="171" spans="1:34">
      <c r="A171" s="30" t="str">
        <f t="shared" si="146"/>
        <v>790</v>
      </c>
      <c r="B171" s="30">
        <f t="shared" si="125"/>
        <v>790</v>
      </c>
      <c r="C171" s="16" t="s">
        <v>175</v>
      </c>
      <c r="D171" s="155">
        <v>1617705.19</v>
      </c>
      <c r="E171" s="155">
        <v>195202.66</v>
      </c>
      <c r="F171" s="155">
        <f t="shared" si="147"/>
        <v>1812907.8499999999</v>
      </c>
      <c r="G171" s="238">
        <v>199</v>
      </c>
      <c r="H171" s="239">
        <f t="shared" si="148"/>
        <v>9110.089698492462</v>
      </c>
      <c r="I171" s="213">
        <f t="shared" si="149"/>
        <v>1.0382731400724477E-3</v>
      </c>
      <c r="J171" s="5">
        <f>Calculations!AS171</f>
        <v>1617020.2627605558</v>
      </c>
      <c r="K171" s="5">
        <f t="shared" si="126"/>
        <v>213150.95897902001</v>
      </c>
      <c r="L171" s="5">
        <f t="shared" si="127"/>
        <v>1830171.2217395757</v>
      </c>
      <c r="M171" s="146">
        <v>199</v>
      </c>
      <c r="N171" s="58">
        <f t="shared" si="128"/>
        <v>9196.8403102491247</v>
      </c>
      <c r="O171" s="36">
        <f t="shared" si="129"/>
        <v>9.9736227068686714E-4</v>
      </c>
      <c r="P171" s="211">
        <f>SUM(H171*'Front page'!$H$10)+H171</f>
        <v>9793.3464258793974</v>
      </c>
      <c r="Q171" s="211">
        <f t="shared" si="130"/>
        <v>1830171.2217395757</v>
      </c>
      <c r="R171" s="218"/>
      <c r="S171" s="5">
        <f t="shared" si="131"/>
        <v>17263.371739575872</v>
      </c>
      <c r="T171" s="5" t="str">
        <f t="shared" si="132"/>
        <v/>
      </c>
      <c r="U171" s="5">
        <f t="shared" si="133"/>
        <v>17263.371739575872</v>
      </c>
      <c r="V171" s="5">
        <f t="shared" si="134"/>
        <v>0</v>
      </c>
      <c r="W171" s="55">
        <f t="shared" si="135"/>
        <v>9.5224761366529877E-3</v>
      </c>
      <c r="X171" s="6">
        <f t="shared" si="136"/>
        <v>1948875.9387499997</v>
      </c>
      <c r="Y171" s="5">
        <f t="shared" si="137"/>
        <v>1830171.2217395757</v>
      </c>
      <c r="Z171" s="57">
        <f t="shared" si="138"/>
        <v>17263.371739575872</v>
      </c>
      <c r="AA171" s="5">
        <f t="shared" si="139"/>
        <v>0</v>
      </c>
      <c r="AB171" s="58">
        <f>SUM(F171*'Front page'!$H$11)+F171</f>
        <v>1849166.0069999998</v>
      </c>
      <c r="AC171" s="58">
        <f t="shared" si="140"/>
        <v>1849166.0069999998</v>
      </c>
      <c r="AD171" s="58">
        <f t="shared" si="141"/>
        <v>1849166.0069999998</v>
      </c>
      <c r="AE171" s="58">
        <f t="shared" si="142"/>
        <v>36258.15699999989</v>
      </c>
      <c r="AF171" s="56">
        <f t="shared" si="143"/>
        <v>1.9999999999999941E-2</v>
      </c>
      <c r="AG171" s="58">
        <f t="shared" si="144"/>
        <v>36258.15699999989</v>
      </c>
      <c r="AH171" s="56">
        <f t="shared" si="145"/>
        <v>1.9999999999999941E-2</v>
      </c>
    </row>
    <row r="172" spans="1:34">
      <c r="A172" s="30" t="str">
        <f t="shared" si="146"/>
        <v>794</v>
      </c>
      <c r="B172" s="30">
        <f t="shared" si="125"/>
        <v>794</v>
      </c>
      <c r="C172" s="16" t="s">
        <v>176</v>
      </c>
      <c r="D172" s="155">
        <v>1619559.24</v>
      </c>
      <c r="E172" s="155">
        <v>144303.95000000001</v>
      </c>
      <c r="F172" s="155">
        <f t="shared" si="147"/>
        <v>1763863.19</v>
      </c>
      <c r="G172" s="238">
        <v>195</v>
      </c>
      <c r="H172" s="239">
        <f t="shared" si="148"/>
        <v>9045.4522564102554</v>
      </c>
      <c r="I172" s="213">
        <f t="shared" si="149"/>
        <v>1.0101847001983606E-3</v>
      </c>
      <c r="J172" s="5">
        <f>Calculations!AS172</f>
        <v>1595005.1205786075</v>
      </c>
      <c r="K172" s="5">
        <f t="shared" si="126"/>
        <v>157572.26529065002</v>
      </c>
      <c r="L172" s="5">
        <f t="shared" si="127"/>
        <v>1752577.3858692576</v>
      </c>
      <c r="M172" s="146">
        <v>195</v>
      </c>
      <c r="N172" s="58">
        <f t="shared" si="128"/>
        <v>8987.5763377910644</v>
      </c>
      <c r="O172" s="36">
        <f t="shared" si="129"/>
        <v>9.5507706621219179E-4</v>
      </c>
      <c r="P172" s="211">
        <f>SUM(H172*'Front page'!$H$10)+H172</f>
        <v>9723.8611756410246</v>
      </c>
      <c r="Q172" s="211">
        <f t="shared" si="130"/>
        <v>1752577.3858692576</v>
      </c>
      <c r="R172" s="218"/>
      <c r="S172" s="5">
        <f t="shared" si="131"/>
        <v>-11285.804130742326</v>
      </c>
      <c r="T172" s="5">
        <f t="shared" si="132"/>
        <v>-11285.804130742326</v>
      </c>
      <c r="U172" s="5">
        <f t="shared" si="133"/>
        <v>-11285.804130742326</v>
      </c>
      <c r="V172" s="5">
        <f t="shared" si="134"/>
        <v>0</v>
      </c>
      <c r="W172" s="55">
        <f t="shared" si="135"/>
        <v>-6.3983443810867935E-3</v>
      </c>
      <c r="X172" s="6">
        <f t="shared" si="136"/>
        <v>1896152.92925</v>
      </c>
      <c r="Y172" s="5">
        <f t="shared" si="137"/>
        <v>1752577.3858692576</v>
      </c>
      <c r="Z172" s="57">
        <f t="shared" si="138"/>
        <v>-11285.804130742326</v>
      </c>
      <c r="AA172" s="5">
        <f t="shared" si="139"/>
        <v>0</v>
      </c>
      <c r="AB172" s="58">
        <f>SUM(F172*'Front page'!$H$11)+F172</f>
        <v>1799140.4538</v>
      </c>
      <c r="AC172" s="58">
        <f t="shared" si="140"/>
        <v>1799140.4538</v>
      </c>
      <c r="AD172" s="58">
        <f t="shared" si="141"/>
        <v>1799140.4538</v>
      </c>
      <c r="AE172" s="58">
        <f t="shared" si="142"/>
        <v>35277.263800000073</v>
      </c>
      <c r="AF172" s="56">
        <f t="shared" si="143"/>
        <v>2.0000000000000042E-2</v>
      </c>
      <c r="AG172" s="58">
        <f t="shared" si="144"/>
        <v>35277.263800000073</v>
      </c>
      <c r="AH172" s="56">
        <f t="shared" si="145"/>
        <v>2.0000000000000042E-2</v>
      </c>
    </row>
    <row r="173" spans="1:34">
      <c r="A173" s="30" t="str">
        <f t="shared" si="146"/>
        <v>795</v>
      </c>
      <c r="B173" s="30">
        <f t="shared" si="125"/>
        <v>795</v>
      </c>
      <c r="C173" s="16" t="s">
        <v>177</v>
      </c>
      <c r="D173" s="155">
        <v>5810309.8699999992</v>
      </c>
      <c r="E173" s="155">
        <v>956953.53</v>
      </c>
      <c r="F173" s="155">
        <f t="shared" si="147"/>
        <v>6767263.3999999994</v>
      </c>
      <c r="G173" s="238">
        <v>1057.5</v>
      </c>
      <c r="H173" s="239">
        <f t="shared" si="148"/>
        <v>6399.3034515366426</v>
      </c>
      <c r="I173" s="213">
        <f t="shared" si="149"/>
        <v>3.8756894455586081E-3</v>
      </c>
      <c r="J173" s="5">
        <f>Calculations!AS173</f>
        <v>6027788.9980971208</v>
      </c>
      <c r="K173" s="5">
        <f t="shared" si="126"/>
        <v>1044942.53622291</v>
      </c>
      <c r="L173" s="5">
        <f t="shared" si="127"/>
        <v>7072731.5343200304</v>
      </c>
      <c r="M173" s="146">
        <v>1057.5</v>
      </c>
      <c r="N173" s="58">
        <f t="shared" si="128"/>
        <v>6688.1622073948274</v>
      </c>
      <c r="O173" s="36">
        <f t="shared" si="129"/>
        <v>3.8543254856357894E-3</v>
      </c>
      <c r="P173" s="211">
        <f>SUM(H173*'Front page'!$H$10)+H173</f>
        <v>6879.2512104018906</v>
      </c>
      <c r="Q173" s="211">
        <f t="shared" si="130"/>
        <v>7072731.5343200304</v>
      </c>
      <c r="R173" s="218"/>
      <c r="S173" s="5">
        <f t="shared" si="131"/>
        <v>305468.13432003092</v>
      </c>
      <c r="T173" s="5" t="str">
        <f t="shared" si="132"/>
        <v/>
      </c>
      <c r="U173" s="5">
        <f t="shared" si="133"/>
        <v>305468.13432003092</v>
      </c>
      <c r="V173" s="5">
        <f t="shared" si="134"/>
        <v>0</v>
      </c>
      <c r="W173" s="55">
        <f t="shared" si="135"/>
        <v>4.5139093347545914E-2</v>
      </c>
      <c r="X173" s="6">
        <f t="shared" si="136"/>
        <v>7274808.1549999993</v>
      </c>
      <c r="Y173" s="5">
        <f t="shared" si="137"/>
        <v>7072731.5343200304</v>
      </c>
      <c r="Z173" s="57">
        <f t="shared" si="138"/>
        <v>305468.13432003092</v>
      </c>
      <c r="AA173" s="5">
        <f t="shared" si="139"/>
        <v>0</v>
      </c>
      <c r="AB173" s="58">
        <f>SUM(F173*'Front page'!$H$11)+F173</f>
        <v>6902608.6679999996</v>
      </c>
      <c r="AC173" s="58">
        <f t="shared" si="140"/>
        <v>7072731.5343200304</v>
      </c>
      <c r="AD173" s="58">
        <f t="shared" si="141"/>
        <v>7072731.5343200304</v>
      </c>
      <c r="AE173" s="58">
        <f t="shared" si="142"/>
        <v>305468.13432003092</v>
      </c>
      <c r="AF173" s="56">
        <f t="shared" si="143"/>
        <v>4.5139093347545914E-2</v>
      </c>
      <c r="AG173" s="58">
        <f t="shared" si="144"/>
        <v>305468.13432003092</v>
      </c>
      <c r="AH173" s="56">
        <f t="shared" si="145"/>
        <v>4.5139093347545914E-2</v>
      </c>
    </row>
    <row r="174" spans="1:34">
      <c r="A174" s="30" t="str">
        <f t="shared" si="146"/>
        <v>796</v>
      </c>
      <c r="B174" s="30">
        <f t="shared" si="125"/>
        <v>796</v>
      </c>
      <c r="C174" s="16" t="s">
        <v>178</v>
      </c>
      <c r="D174" s="155">
        <v>1244792.82</v>
      </c>
      <c r="E174" s="155">
        <v>190701.9</v>
      </c>
      <c r="F174" s="155">
        <f t="shared" si="147"/>
        <v>1435494.72</v>
      </c>
      <c r="G174" s="238">
        <v>265.5</v>
      </c>
      <c r="H174" s="239">
        <f t="shared" si="148"/>
        <v>5406.7597740112997</v>
      </c>
      <c r="I174" s="213">
        <f t="shared" si="149"/>
        <v>8.2212430736168919E-4</v>
      </c>
      <c r="J174" s="5">
        <f>Calculations!AS174</f>
        <v>1670503.3247593781</v>
      </c>
      <c r="K174" s="5">
        <f t="shared" si="126"/>
        <v>208236.36759929999</v>
      </c>
      <c r="L174" s="5">
        <f t="shared" si="127"/>
        <v>1878739.6923586782</v>
      </c>
      <c r="M174" s="146">
        <v>265.5</v>
      </c>
      <c r="N174" s="58">
        <f t="shared" si="128"/>
        <v>7076.2323629328748</v>
      </c>
      <c r="O174" s="36">
        <f t="shared" si="129"/>
        <v>1.0238299364249471E-3</v>
      </c>
      <c r="P174" s="211">
        <f>SUM(H174*'Front page'!$H$10)+H174</f>
        <v>5812.266757062147</v>
      </c>
      <c r="Q174" s="211">
        <f t="shared" si="130"/>
        <v>1543156.824</v>
      </c>
      <c r="R174" s="218"/>
      <c r="S174" s="5">
        <f t="shared" si="131"/>
        <v>443244.97235867823</v>
      </c>
      <c r="T174" s="5" t="str">
        <f t="shared" si="132"/>
        <v/>
      </c>
      <c r="U174" s="5">
        <f t="shared" si="133"/>
        <v>107662.10400000005</v>
      </c>
      <c r="V174" s="5">
        <f t="shared" si="134"/>
        <v>-335582.86835867818</v>
      </c>
      <c r="W174" s="55">
        <f t="shared" si="135"/>
        <v>0.30877506282898642</v>
      </c>
      <c r="X174" s="6">
        <f t="shared" si="136"/>
        <v>1543156.824</v>
      </c>
      <c r="Y174" s="5">
        <f t="shared" si="137"/>
        <v>1543156.824</v>
      </c>
      <c r="Z174" s="57">
        <f t="shared" si="138"/>
        <v>107662.10400000005</v>
      </c>
      <c r="AA174" s="5">
        <f t="shared" si="139"/>
        <v>-335582.86835867818</v>
      </c>
      <c r="AB174" s="58">
        <f>SUM(F174*'Front page'!$H$11)+F174</f>
        <v>1464204.6144000001</v>
      </c>
      <c r="AC174" s="58">
        <f t="shared" si="140"/>
        <v>1878739.6923586782</v>
      </c>
      <c r="AD174" s="58">
        <f t="shared" si="141"/>
        <v>1543156.824</v>
      </c>
      <c r="AE174" s="58">
        <f t="shared" si="142"/>
        <v>443244.97235867823</v>
      </c>
      <c r="AF174" s="56">
        <f t="shared" si="143"/>
        <v>0.30877506282898642</v>
      </c>
      <c r="AG174" s="58">
        <f t="shared" si="144"/>
        <v>107662.10400000005</v>
      </c>
      <c r="AH174" s="56">
        <f t="shared" si="145"/>
        <v>7.5000000000000039E-2</v>
      </c>
    </row>
    <row r="175" spans="1:34">
      <c r="A175" s="30" t="str">
        <f t="shared" si="146"/>
        <v>813</v>
      </c>
      <c r="B175" s="30">
        <f t="shared" si="125"/>
        <v>813</v>
      </c>
      <c r="C175" s="16" t="s">
        <v>179</v>
      </c>
      <c r="D175" s="155">
        <v>1040729.0800000001</v>
      </c>
      <c r="E175" s="155">
        <v>132599.79</v>
      </c>
      <c r="F175" s="155">
        <f t="shared" si="147"/>
        <v>1173328.8700000001</v>
      </c>
      <c r="G175" s="238">
        <v>154.5</v>
      </c>
      <c r="H175" s="239">
        <f t="shared" si="148"/>
        <v>7594.3616181229781</v>
      </c>
      <c r="I175" s="213">
        <f t="shared" si="149"/>
        <v>6.7197891508526315E-4</v>
      </c>
      <c r="J175" s="5">
        <f>Calculations!AS175</f>
        <v>1198808.3192286859</v>
      </c>
      <c r="K175" s="5">
        <f t="shared" si="126"/>
        <v>144791.94289113002</v>
      </c>
      <c r="L175" s="5">
        <f t="shared" si="127"/>
        <v>1343600.2621198159</v>
      </c>
      <c r="M175" s="146">
        <v>154.5</v>
      </c>
      <c r="N175" s="58">
        <f t="shared" si="128"/>
        <v>8696.4418260182265</v>
      </c>
      <c r="O175" s="36">
        <f t="shared" si="129"/>
        <v>7.3220264443321734E-4</v>
      </c>
      <c r="P175" s="211">
        <f>SUM(H175*'Front page'!$H$10)+H175</f>
        <v>8163.9387394822015</v>
      </c>
      <c r="Q175" s="211">
        <f t="shared" si="130"/>
        <v>1261328.5352500002</v>
      </c>
      <c r="R175" s="218"/>
      <c r="S175" s="5">
        <f t="shared" si="131"/>
        <v>170271.39211981581</v>
      </c>
      <c r="T175" s="5" t="str">
        <f t="shared" si="132"/>
        <v/>
      </c>
      <c r="U175" s="5">
        <f t="shared" si="133"/>
        <v>87999.665250000078</v>
      </c>
      <c r="V175" s="5">
        <f t="shared" si="134"/>
        <v>-82271.726869815728</v>
      </c>
      <c r="W175" s="55">
        <f t="shared" si="135"/>
        <v>0.14511821576487399</v>
      </c>
      <c r="X175" s="6">
        <f t="shared" si="136"/>
        <v>1261328.5352500002</v>
      </c>
      <c r="Y175" s="5">
        <f t="shared" si="137"/>
        <v>1261328.5352500002</v>
      </c>
      <c r="Z175" s="57">
        <f t="shared" si="138"/>
        <v>87999.665250000078</v>
      </c>
      <c r="AA175" s="5">
        <f t="shared" si="139"/>
        <v>-82271.726869815728</v>
      </c>
      <c r="AB175" s="58">
        <f>SUM(F175*'Front page'!$H$11)+F175</f>
        <v>1196795.4474000002</v>
      </c>
      <c r="AC175" s="58">
        <f t="shared" si="140"/>
        <v>1343600.2621198159</v>
      </c>
      <c r="AD175" s="58">
        <f t="shared" si="141"/>
        <v>1261328.5352500002</v>
      </c>
      <c r="AE175" s="58">
        <f t="shared" si="142"/>
        <v>170271.39211981581</v>
      </c>
      <c r="AF175" s="56">
        <f t="shared" si="143"/>
        <v>0.14511821576487399</v>
      </c>
      <c r="AG175" s="58">
        <f t="shared" si="144"/>
        <v>87999.665250000078</v>
      </c>
      <c r="AH175" s="56">
        <f t="shared" si="145"/>
        <v>7.5000000000000053E-2</v>
      </c>
    </row>
    <row r="177" spans="4:33">
      <c r="D177" s="155">
        <f>SUM(D3:D175)</f>
        <v>1563369527.3699989</v>
      </c>
      <c r="E177" s="155">
        <f>SUM(E3:E176)</f>
        <v>184310362.42999998</v>
      </c>
      <c r="F177" s="159">
        <f>SUM(F3:F175)</f>
        <v>1746079889.8000004</v>
      </c>
      <c r="G177" s="240">
        <f>SUM(G3:G175)</f>
        <v>288695</v>
      </c>
      <c r="H177" s="239">
        <f t="shared" ref="H177" si="150">SUM(F177/G177)</f>
        <v>6048.181956043577</v>
      </c>
      <c r="I177" s="215">
        <f>SUM(I3:I175)</f>
        <v>0.99999999999999978</v>
      </c>
      <c r="J177" s="7">
        <f>SUM(J3:J176)</f>
        <v>1633754337.9999995</v>
      </c>
      <c r="K177" s="7">
        <f>SUM(K3:K175)</f>
        <v>201257147.32435122</v>
      </c>
      <c r="L177" s="7">
        <f>SUM(L3:L176)</f>
        <v>1835011485.3243511</v>
      </c>
      <c r="M177" s="147">
        <f>SUM(M3:M175)</f>
        <v>289240</v>
      </c>
      <c r="N177" s="58">
        <f t="shared" ref="N177" si="151">SUM(L177/M177)</f>
        <v>6344.252127383319</v>
      </c>
      <c r="O177" s="86">
        <f>SUM(O3:O176)</f>
        <v>0.99999999999999967</v>
      </c>
      <c r="P177" s="86"/>
      <c r="Q177" s="7">
        <f>SUM(Q3:Q176)</f>
        <v>1805837357.9205406</v>
      </c>
      <c r="R177" s="219"/>
      <c r="S177" s="7">
        <f>SUM(S3:S176)</f>
        <v>88931595.524350375</v>
      </c>
      <c r="T177" s="7">
        <f>SUM(T3:T176)*-1</f>
        <v>8750361.1352251507</v>
      </c>
      <c r="U177" s="7">
        <f>SUM(U3:U175)</f>
        <v>59757468.120540023</v>
      </c>
      <c r="V177" s="7">
        <f>SUM(V3:V175)</f>
        <v>-29174127.403810419</v>
      </c>
      <c r="X177" s="6"/>
      <c r="Y177" s="6">
        <f>SUM(Y3:Y175)</f>
        <v>1805837357.9205406</v>
      </c>
      <c r="Z177" s="58">
        <f>SUM(Z3:Z176)</f>
        <v>59757468.120540023</v>
      </c>
      <c r="AA177" s="58">
        <f>SUM(AA3:AA176)</f>
        <v>-29174127.403810419</v>
      </c>
      <c r="AB177" s="58">
        <f>SUM(AB3:AB175)</f>
        <v>1781001487.5960014</v>
      </c>
      <c r="AC177" s="58">
        <f>SUM(AC3:AC175)</f>
        <v>1856862493.5103214</v>
      </c>
      <c r="AD177" s="58">
        <f>SUM(AD3:AD175)</f>
        <v>1827688366.1065109</v>
      </c>
      <c r="AE177" s="58">
        <f>SUM(AE3:AE175)</f>
        <v>110782603.71032067</v>
      </c>
      <c r="AF177" s="58"/>
      <c r="AG177" s="58">
        <f>SUM(AG3:AG175)</f>
        <v>81608476.306510255</v>
      </c>
    </row>
    <row r="178" spans="4:33">
      <c r="Q178" s="104">
        <f>SUM(Q177-F177)</f>
        <v>59757468.120540142</v>
      </c>
      <c r="T178" s="58">
        <f>SUM(T177,AA177)</f>
        <v>-20423766.268585268</v>
      </c>
      <c r="Y178" s="6">
        <f>SUM(Y177-F177)</f>
        <v>59757468.120540142</v>
      </c>
      <c r="AA178" s="7">
        <f>SUM(T177+AA177)</f>
        <v>-20423766.268585268</v>
      </c>
      <c r="AC178" s="58">
        <f>SUM(AC177-L177)</f>
        <v>21851008.185970306</v>
      </c>
      <c r="AD178" s="58">
        <f>SUM(AD177-L177)</f>
        <v>-7323119.2178401947</v>
      </c>
    </row>
    <row r="179" spans="4:33">
      <c r="D179" s="155"/>
      <c r="E179" s="155"/>
    </row>
    <row r="181" spans="4:33">
      <c r="D181" s="155"/>
      <c r="E181" s="155"/>
    </row>
  </sheetData>
  <autoFilter ref="A2:AH2">
    <sortState ref="A3:AH175">
      <sortCondition ref="A2:A175"/>
    </sortState>
  </autoFilter>
  <sortState ref="A3:Z175">
    <sortCondition ref="W3:W175"/>
  </sortState>
  <mergeCells count="1">
    <mergeCell ref="J1:L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130" zoomScaleNormal="130" workbookViewId="0"/>
  </sheetViews>
  <sheetFormatPr defaultColWidth="11.42578125" defaultRowHeight="15"/>
  <cols>
    <col min="1" max="1" width="47.42578125" customWidth="1"/>
    <col min="2" max="3" width="17.42578125" customWidth="1"/>
    <col min="4" max="4" width="22.42578125" customWidth="1"/>
    <col min="5" max="5" width="19.85546875" customWidth="1"/>
    <col min="6" max="6" width="32.42578125" customWidth="1"/>
    <col min="7" max="7" width="14.42578125" customWidth="1"/>
  </cols>
  <sheetData>
    <row r="1" spans="1:7" ht="24.95" customHeight="1">
      <c r="A1" s="277"/>
      <c r="B1" s="278" t="s">
        <v>839</v>
      </c>
      <c r="C1" s="278" t="s">
        <v>333</v>
      </c>
      <c r="D1" s="278" t="s">
        <v>840</v>
      </c>
      <c r="E1" s="279" t="s">
        <v>334</v>
      </c>
    </row>
    <row r="2" spans="1:7" ht="33" customHeight="1">
      <c r="A2" s="280" t="s">
        <v>841</v>
      </c>
      <c r="B2" s="62">
        <v>1633754338</v>
      </c>
      <c r="C2" s="281"/>
      <c r="D2" s="281"/>
      <c r="E2" s="281"/>
    </row>
    <row r="3" spans="1:7" ht="24.95" customHeight="1">
      <c r="A3" s="282" t="s">
        <v>359</v>
      </c>
      <c r="B3" s="78"/>
      <c r="C3" s="283">
        <v>0</v>
      </c>
      <c r="D3" s="284">
        <f>SUM(B2*C3)+B2</f>
        <v>1633754338</v>
      </c>
      <c r="E3" s="284">
        <f>SUM(D3-B2)</f>
        <v>0</v>
      </c>
    </row>
    <row r="4" spans="1:7" ht="20.25" customHeight="1">
      <c r="A4" s="277"/>
      <c r="B4" s="77"/>
      <c r="C4" s="285"/>
      <c r="D4" s="285"/>
      <c r="E4" s="285"/>
    </row>
    <row r="5" spans="1:7" ht="24.95" customHeight="1">
      <c r="A5" s="63" t="s">
        <v>336</v>
      </c>
      <c r="B5" s="73" t="s">
        <v>356</v>
      </c>
      <c r="C5" s="64"/>
      <c r="D5" s="286" t="s">
        <v>356</v>
      </c>
      <c r="E5" s="287"/>
      <c r="F5" s="276"/>
    </row>
    <row r="6" spans="1:7" ht="24.95" customHeight="1">
      <c r="A6" s="288" t="s">
        <v>337</v>
      </c>
      <c r="B6" s="65">
        <f>SUM(B2*0.411)</f>
        <v>671473032.91799998</v>
      </c>
      <c r="C6" s="69">
        <v>0</v>
      </c>
      <c r="D6" s="289">
        <f>SUM(B6*C6)+B6</f>
        <v>671473032.91799998</v>
      </c>
      <c r="E6" s="290">
        <f t="shared" ref="E6:E11" si="0">SUM(D6-B6)</f>
        <v>0</v>
      </c>
      <c r="F6" s="75"/>
      <c r="G6" s="74"/>
    </row>
    <row r="7" spans="1:7" ht="24.95" customHeight="1">
      <c r="A7" s="288" t="s">
        <v>338</v>
      </c>
      <c r="B7" s="65">
        <f>SUM(B2*0.146)</f>
        <v>238528133.34799999</v>
      </c>
      <c r="C7" s="69">
        <v>0</v>
      </c>
      <c r="D7" s="289">
        <f t="shared" ref="D7:D10" si="1">SUM(B7*C7)+B7</f>
        <v>238528133.34799999</v>
      </c>
      <c r="E7" s="290">
        <f t="shared" si="0"/>
        <v>0</v>
      </c>
      <c r="G7" s="96"/>
    </row>
    <row r="8" spans="1:7" ht="24.95" customHeight="1">
      <c r="A8" s="288" t="s">
        <v>339</v>
      </c>
      <c r="B8" s="65">
        <f>SUM(B2*0.177)</f>
        <v>289174517.82599998</v>
      </c>
      <c r="C8" s="69">
        <v>0</v>
      </c>
      <c r="D8" s="289">
        <f t="shared" si="1"/>
        <v>289174517.82599998</v>
      </c>
      <c r="E8" s="290">
        <f t="shared" si="0"/>
        <v>0</v>
      </c>
      <c r="G8" s="74"/>
    </row>
    <row r="9" spans="1:7" ht="24.95" customHeight="1">
      <c r="A9" s="288" t="s">
        <v>340</v>
      </c>
      <c r="B9" s="65">
        <f>SUM(B2*0.07)</f>
        <v>114362803.66000001</v>
      </c>
      <c r="C9" s="69">
        <v>0</v>
      </c>
      <c r="D9" s="289">
        <f t="shared" si="1"/>
        <v>114362803.66000001</v>
      </c>
      <c r="E9" s="290">
        <f t="shared" si="0"/>
        <v>0</v>
      </c>
      <c r="G9" s="76"/>
    </row>
    <row r="10" spans="1:7" ht="24.95" customHeight="1" thickBot="1">
      <c r="A10" s="288" t="s">
        <v>341</v>
      </c>
      <c r="B10" s="66">
        <f>SUM(B2*0.196)</f>
        <v>320215850.24800003</v>
      </c>
      <c r="C10" s="79">
        <v>0</v>
      </c>
      <c r="D10" s="291">
        <f t="shared" si="1"/>
        <v>320215850.24800003</v>
      </c>
      <c r="E10" s="292">
        <f t="shared" si="0"/>
        <v>0</v>
      </c>
    </row>
    <row r="11" spans="1:7" ht="24.95" customHeight="1" thickBot="1">
      <c r="A11" s="60" t="s">
        <v>335</v>
      </c>
      <c r="B11" s="67">
        <f>SUM(B6:B10)</f>
        <v>1633754338</v>
      </c>
      <c r="C11" s="68"/>
      <c r="D11" s="67">
        <f>SUM(D6:D10)+E3</f>
        <v>1633754338</v>
      </c>
      <c r="E11" s="293">
        <f t="shared" si="0"/>
        <v>0</v>
      </c>
    </row>
    <row r="12" spans="1:7" ht="24" customHeight="1">
      <c r="A12" s="287"/>
      <c r="B12" s="287"/>
      <c r="C12" s="287"/>
      <c r="D12" s="287"/>
      <c r="E12" s="71"/>
    </row>
    <row r="13" spans="1:7" ht="24.95" hidden="1" customHeight="1">
      <c r="A13" s="60"/>
      <c r="B13" s="70">
        <f>(B11-[1]Calculations!AC172)/[1]Calculations!Y172</f>
        <v>4294.1833191728247</v>
      </c>
      <c r="C13" s="72"/>
      <c r="D13" s="70">
        <f>(D11-[1]Calculations!AC172)/[1]Calculations!Y172</f>
        <v>4294.1833191728247</v>
      </c>
      <c r="E13" s="71"/>
    </row>
    <row r="14" spans="1:7" ht="24.95" customHeight="1">
      <c r="A14" s="63" t="s">
        <v>342</v>
      </c>
      <c r="B14" s="294" t="s">
        <v>842</v>
      </c>
      <c r="C14" s="295" t="s">
        <v>333</v>
      </c>
      <c r="D14" s="278" t="s">
        <v>840</v>
      </c>
      <c r="E14" s="279" t="s">
        <v>334</v>
      </c>
    </row>
    <row r="15" spans="1:7" ht="24.95" customHeight="1">
      <c r="A15" s="287" t="s">
        <v>343</v>
      </c>
      <c r="B15" s="62">
        <v>73010000</v>
      </c>
      <c r="C15" s="296">
        <v>0</v>
      </c>
      <c r="D15" s="290">
        <f>SUM(B15*C15)+B15</f>
        <v>73010000</v>
      </c>
      <c r="E15" s="290">
        <f t="shared" ref="E15:E29" si="2">SUM(D15-B15)</f>
        <v>0</v>
      </c>
    </row>
    <row r="16" spans="1:7" ht="24.95" customHeight="1">
      <c r="A16" s="287" t="s">
        <v>357</v>
      </c>
      <c r="B16" s="62">
        <v>1200000</v>
      </c>
      <c r="C16" s="296">
        <v>0</v>
      </c>
      <c r="D16" s="290">
        <f t="shared" ref="D16:D29" si="3">SUM(B16*C16)+B16</f>
        <v>1200000</v>
      </c>
      <c r="E16" s="290">
        <f t="shared" si="2"/>
        <v>0</v>
      </c>
    </row>
    <row r="17" spans="1:5" ht="24.95" customHeight="1">
      <c r="A17" s="287" t="s">
        <v>344</v>
      </c>
      <c r="B17" s="62">
        <v>5390900</v>
      </c>
      <c r="C17" s="296">
        <v>0</v>
      </c>
      <c r="D17" s="290">
        <f t="shared" si="3"/>
        <v>5390900</v>
      </c>
      <c r="E17" s="290">
        <f t="shared" si="2"/>
        <v>0</v>
      </c>
    </row>
    <row r="18" spans="1:5" ht="24.95" customHeight="1">
      <c r="A18" s="287" t="s">
        <v>345</v>
      </c>
      <c r="B18" s="62">
        <v>23184500</v>
      </c>
      <c r="C18" s="296">
        <v>0</v>
      </c>
      <c r="D18" s="290">
        <f t="shared" si="3"/>
        <v>23184500</v>
      </c>
      <c r="E18" s="290">
        <f t="shared" si="2"/>
        <v>0</v>
      </c>
    </row>
    <row r="19" spans="1:5" ht="24.95" customHeight="1">
      <c r="A19" s="287" t="s">
        <v>346</v>
      </c>
      <c r="B19" s="62">
        <v>7893700</v>
      </c>
      <c r="C19" s="296">
        <v>0</v>
      </c>
      <c r="D19" s="290">
        <f t="shared" si="3"/>
        <v>7893700</v>
      </c>
      <c r="E19" s="290">
        <f t="shared" si="2"/>
        <v>0</v>
      </c>
    </row>
    <row r="20" spans="1:5" ht="24.95" customHeight="1">
      <c r="A20" s="287" t="s">
        <v>843</v>
      </c>
      <c r="B20" s="289">
        <v>357000</v>
      </c>
      <c r="C20" s="296">
        <v>0</v>
      </c>
      <c r="D20" s="290">
        <f t="shared" si="3"/>
        <v>357000</v>
      </c>
      <c r="E20" s="290">
        <f t="shared" si="2"/>
        <v>0</v>
      </c>
    </row>
    <row r="21" spans="1:5" ht="24.95" customHeight="1">
      <c r="A21" s="287" t="s">
        <v>844</v>
      </c>
      <c r="B21" s="62">
        <v>3240500</v>
      </c>
      <c r="C21" s="296">
        <v>0</v>
      </c>
      <c r="D21" s="290">
        <f t="shared" si="3"/>
        <v>3240500</v>
      </c>
      <c r="E21" s="290">
        <f t="shared" si="2"/>
        <v>0</v>
      </c>
    </row>
    <row r="22" spans="1:5" ht="24.95" customHeight="1">
      <c r="A22" s="287" t="s">
        <v>347</v>
      </c>
      <c r="B22" s="62">
        <v>17773600</v>
      </c>
      <c r="C22" s="296">
        <v>0</v>
      </c>
      <c r="D22" s="290">
        <f t="shared" si="3"/>
        <v>17773600</v>
      </c>
      <c r="E22" s="290">
        <f t="shared" si="2"/>
        <v>0</v>
      </c>
    </row>
    <row r="23" spans="1:5" ht="24.95" customHeight="1">
      <c r="A23" s="287" t="s">
        <v>348</v>
      </c>
      <c r="B23" s="62">
        <v>90000</v>
      </c>
      <c r="C23" s="296">
        <v>0</v>
      </c>
      <c r="D23" s="290">
        <f t="shared" si="3"/>
        <v>90000</v>
      </c>
      <c r="E23" s="290">
        <f t="shared" si="2"/>
        <v>0</v>
      </c>
    </row>
    <row r="24" spans="1:5" ht="24.95" customHeight="1">
      <c r="A24" s="287" t="s">
        <v>349</v>
      </c>
      <c r="B24" s="62">
        <v>4024900</v>
      </c>
      <c r="C24" s="296">
        <v>0</v>
      </c>
      <c r="D24" s="290">
        <f t="shared" si="3"/>
        <v>4024900</v>
      </c>
      <c r="E24" s="290">
        <f t="shared" si="2"/>
        <v>0</v>
      </c>
    </row>
    <row r="25" spans="1:5" ht="24.95" customHeight="1">
      <c r="A25" s="287" t="s">
        <v>350</v>
      </c>
      <c r="B25" s="62">
        <v>18562500</v>
      </c>
      <c r="C25" s="296">
        <v>0</v>
      </c>
      <c r="D25" s="290">
        <f t="shared" si="3"/>
        <v>18562500</v>
      </c>
      <c r="E25" s="290">
        <f t="shared" si="2"/>
        <v>0</v>
      </c>
    </row>
    <row r="26" spans="1:5">
      <c r="A26" s="287" t="s">
        <v>351</v>
      </c>
      <c r="B26" s="62">
        <v>3905000</v>
      </c>
      <c r="C26" s="296">
        <v>0</v>
      </c>
      <c r="D26" s="290">
        <f t="shared" si="3"/>
        <v>3905000</v>
      </c>
      <c r="E26" s="290">
        <f t="shared" si="2"/>
        <v>0</v>
      </c>
    </row>
    <row r="27" spans="1:5" ht="30">
      <c r="A27" s="297" t="s">
        <v>352</v>
      </c>
      <c r="B27" s="284">
        <v>36500000</v>
      </c>
      <c r="C27" s="296">
        <v>0</v>
      </c>
      <c r="D27" s="290">
        <f t="shared" si="3"/>
        <v>36500000</v>
      </c>
      <c r="E27" s="290">
        <f t="shared" si="2"/>
        <v>0</v>
      </c>
    </row>
    <row r="28" spans="1:5" ht="30">
      <c r="A28" s="297" t="s">
        <v>845</v>
      </c>
      <c r="B28" s="284">
        <v>535643</v>
      </c>
      <c r="C28" s="296">
        <v>0</v>
      </c>
      <c r="D28" s="290">
        <f t="shared" ref="D28" si="4">SUM(B28*C28)+B28</f>
        <v>535643</v>
      </c>
      <c r="E28" s="290">
        <f t="shared" ref="E28" si="5">SUM(D28-B28)</f>
        <v>0</v>
      </c>
    </row>
    <row r="29" spans="1:5" ht="15.75" thickBot="1">
      <c r="A29" s="297" t="s">
        <v>846</v>
      </c>
      <c r="B29" s="284">
        <v>1600000</v>
      </c>
      <c r="C29" s="296">
        <v>0</v>
      </c>
      <c r="D29" s="290">
        <f t="shared" si="3"/>
        <v>1600000</v>
      </c>
      <c r="E29" s="290">
        <f t="shared" si="2"/>
        <v>0</v>
      </c>
    </row>
    <row r="30" spans="1:5" ht="15.75" thickBot="1">
      <c r="A30" s="298" t="s">
        <v>353</v>
      </c>
      <c r="B30" s="299">
        <f>SUM(B15:B29)</f>
        <v>197268243</v>
      </c>
      <c r="C30" s="300"/>
      <c r="D30" s="299">
        <f>SUM(D15:D29)</f>
        <v>197268243</v>
      </c>
      <c r="E30" s="301">
        <f>SUM(E15:E29)</f>
        <v>0</v>
      </c>
    </row>
    <row r="31" spans="1:5">
      <c r="A31" s="287"/>
      <c r="B31" s="287"/>
      <c r="C31" s="287"/>
      <c r="D31" s="287"/>
      <c r="E31" s="302"/>
    </row>
    <row r="32" spans="1:5" ht="15.75" thickBot="1">
      <c r="A32" s="303"/>
      <c r="B32" s="304" t="s">
        <v>839</v>
      </c>
      <c r="C32" s="305"/>
      <c r="D32" s="304" t="s">
        <v>840</v>
      </c>
      <c r="E32" s="306" t="s">
        <v>354</v>
      </c>
    </row>
    <row r="33" spans="1:5" ht="15.75" thickBot="1">
      <c r="A33" s="303" t="s">
        <v>847</v>
      </c>
      <c r="B33" s="307">
        <f>SUM(B30+B2)</f>
        <v>1831022581</v>
      </c>
      <c r="C33" s="308"/>
      <c r="D33" s="307">
        <f>SUM(D30+D11)</f>
        <v>1831022581</v>
      </c>
      <c r="E33" s="307">
        <f t="shared" ref="E33" si="6">SUM(D33-B33)</f>
        <v>0</v>
      </c>
    </row>
    <row r="34" spans="1:5" ht="15.75" thickBot="1">
      <c r="A34" s="305"/>
      <c r="B34" s="305"/>
      <c r="C34" s="305"/>
      <c r="D34" s="309" t="s">
        <v>358</v>
      </c>
      <c r="E34" s="310">
        <f>E33/B11</f>
        <v>0</v>
      </c>
    </row>
    <row r="35" spans="1:5">
      <c r="A35" s="287" t="s">
        <v>355</v>
      </c>
      <c r="B35" s="287"/>
      <c r="C35" s="287"/>
      <c r="D35" s="287"/>
      <c r="E35" s="287"/>
    </row>
    <row r="36" spans="1:5">
      <c r="A36" s="287" t="s">
        <v>848</v>
      </c>
      <c r="B36" s="287"/>
      <c r="C36" s="287"/>
      <c r="D36" s="287"/>
      <c r="E36" s="28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R184"/>
  <sheetViews>
    <sheetView zoomScale="115" zoomScaleNormal="115" workbookViewId="0">
      <pane xSplit="3" ySplit="3" topLeftCell="D4" activePane="bottomRight" state="frozen"/>
      <selection pane="topRight" activeCell="D1" sqref="D1"/>
      <selection pane="bottomLeft" activeCell="A4" sqref="A4"/>
      <selection pane="bottomRight" activeCell="A3" sqref="A3"/>
    </sheetView>
  </sheetViews>
  <sheetFormatPr defaultColWidth="8.42578125" defaultRowHeight="15"/>
  <cols>
    <col min="1" max="1" width="15.140625" style="9" bestFit="1" customWidth="1"/>
    <col min="2" max="2" width="9.42578125" style="9" bestFit="1" customWidth="1"/>
    <col min="3" max="3" width="22.42578125" style="9" customWidth="1"/>
    <col min="4" max="4" width="16.42578125" style="9" bestFit="1" customWidth="1"/>
    <col min="5" max="5" width="10" style="9" customWidth="1"/>
    <col min="6" max="24" width="8.42578125" style="9"/>
    <col min="25" max="25" width="11.42578125" style="9" customWidth="1"/>
    <col min="26" max="34" width="9.42578125" style="9" customWidth="1"/>
    <col min="35" max="47" width="8.42578125" style="9"/>
    <col min="48" max="48" width="8.42578125" style="9" customWidth="1"/>
    <col min="49" max="54" width="8.42578125" style="9"/>
    <col min="55" max="55" width="4.140625" style="19" customWidth="1"/>
    <col min="56" max="56" width="11.140625" style="9" customWidth="1"/>
    <col min="57" max="57" width="8.42578125" style="9"/>
    <col min="58" max="58" width="13.42578125" style="9" customWidth="1"/>
    <col min="59" max="59" width="3.42578125" style="22" customWidth="1"/>
    <col min="60" max="64" width="8.42578125" style="9"/>
    <col min="65" max="65" width="10" style="9" customWidth="1"/>
    <col min="66" max="66" width="8.42578125" style="9"/>
    <col min="67" max="67" width="3.42578125" style="22" customWidth="1"/>
    <col min="68" max="70" width="8.42578125" style="9"/>
    <col min="71" max="71" width="9.42578125" style="23" bestFit="1" customWidth="1"/>
    <col min="72" max="72" width="4" style="22" customWidth="1"/>
    <col min="73" max="73" width="8.42578125" style="9"/>
    <col min="74" max="74" width="5.42578125" style="22" customWidth="1"/>
    <col min="75" max="88" width="8.42578125" style="9"/>
    <col min="89" max="89" width="10.140625" style="9" customWidth="1"/>
    <col min="90" max="94" width="8.42578125" style="9"/>
    <col min="95" max="95" width="13.28515625" style="9" customWidth="1"/>
    <col min="96" max="96" width="13.7109375" style="9" customWidth="1"/>
    <col min="97" max="16384" width="8.42578125" style="9"/>
  </cols>
  <sheetData>
    <row r="1" spans="1:96">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8"/>
      <c r="BD1" s="13"/>
      <c r="BW1" s="9">
        <v>5</v>
      </c>
      <c r="BX1" s="9">
        <v>6</v>
      </c>
      <c r="BY1" s="9">
        <v>7</v>
      </c>
      <c r="BZ1" s="9">
        <v>8</v>
      </c>
      <c r="CA1" s="9">
        <v>9</v>
      </c>
      <c r="CB1" s="9">
        <v>10</v>
      </c>
      <c r="CC1" s="9">
        <v>11</v>
      </c>
      <c r="CD1" s="9">
        <v>12</v>
      </c>
      <c r="CE1" s="9">
        <v>14</v>
      </c>
      <c r="CF1" s="9">
        <v>15</v>
      </c>
      <c r="CG1" s="9">
        <v>16</v>
      </c>
      <c r="CH1" s="9">
        <v>17</v>
      </c>
      <c r="CI1" s="9">
        <v>18</v>
      </c>
      <c r="CJ1" s="9">
        <v>19</v>
      </c>
    </row>
    <row r="2" spans="1:96">
      <c r="B2" s="10"/>
      <c r="C2" s="14"/>
      <c r="D2" s="14"/>
      <c r="E2" s="334" t="s">
        <v>184</v>
      </c>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t="s">
        <v>332</v>
      </c>
      <c r="AY2" s="334"/>
      <c r="AZ2" s="334"/>
      <c r="BA2" s="334"/>
      <c r="BB2" s="334"/>
      <c r="BD2" s="10" t="s">
        <v>0</v>
      </c>
      <c r="BH2" s="334" t="s">
        <v>3</v>
      </c>
      <c r="BI2" s="334"/>
      <c r="BJ2" s="334"/>
      <c r="BK2" s="334"/>
      <c r="BL2" s="334"/>
      <c r="BM2" s="334"/>
      <c r="BN2" s="334"/>
      <c r="BP2" s="334" t="s">
        <v>5</v>
      </c>
      <c r="BQ2" s="334"/>
      <c r="BR2" s="334"/>
      <c r="BS2" s="334"/>
      <c r="BU2" s="10" t="s">
        <v>6</v>
      </c>
      <c r="BW2" s="9" t="s">
        <v>307</v>
      </c>
    </row>
    <row r="3" spans="1:96" ht="60">
      <c r="A3" s="9" t="s">
        <v>180</v>
      </c>
      <c r="B3" s="10" t="s">
        <v>181</v>
      </c>
      <c r="C3" s="10" t="s">
        <v>182</v>
      </c>
      <c r="D3" s="10" t="s">
        <v>183</v>
      </c>
      <c r="E3" s="17" t="s">
        <v>330</v>
      </c>
      <c r="F3" s="17" t="s">
        <v>185</v>
      </c>
      <c r="G3" s="17" t="s">
        <v>186</v>
      </c>
      <c r="H3" s="17" t="s">
        <v>187</v>
      </c>
      <c r="I3" s="17" t="s">
        <v>188</v>
      </c>
      <c r="J3" s="17" t="s">
        <v>189</v>
      </c>
      <c r="K3" s="17" t="s">
        <v>190</v>
      </c>
      <c r="L3" s="17" t="s">
        <v>191</v>
      </c>
      <c r="M3" s="17" t="s">
        <v>192</v>
      </c>
      <c r="N3" s="17" t="s">
        <v>193</v>
      </c>
      <c r="O3" s="17" t="s">
        <v>194</v>
      </c>
      <c r="P3" s="17" t="s">
        <v>195</v>
      </c>
      <c r="Q3" s="17" t="s">
        <v>196</v>
      </c>
      <c r="R3" s="17" t="s">
        <v>197</v>
      </c>
      <c r="S3" s="17" t="s">
        <v>198</v>
      </c>
      <c r="T3" s="17" t="s">
        <v>199</v>
      </c>
      <c r="U3" s="17" t="s">
        <v>200</v>
      </c>
      <c r="V3" s="17" t="s">
        <v>201</v>
      </c>
      <c r="W3" s="17" t="s">
        <v>202</v>
      </c>
      <c r="X3" s="17" t="s">
        <v>203</v>
      </c>
      <c r="Y3" s="17" t="s">
        <v>204</v>
      </c>
      <c r="Z3" s="17" t="s">
        <v>205</v>
      </c>
      <c r="AA3" s="17" t="s">
        <v>206</v>
      </c>
      <c r="AB3" s="17" t="s">
        <v>207</v>
      </c>
      <c r="AC3" s="17" t="s">
        <v>208</v>
      </c>
      <c r="AD3" s="17" t="s">
        <v>209</v>
      </c>
      <c r="AE3" s="17" t="s">
        <v>210</v>
      </c>
      <c r="AF3" s="17" t="s">
        <v>211</v>
      </c>
      <c r="AG3" s="17" t="s">
        <v>212</v>
      </c>
      <c r="AH3" s="17" t="s">
        <v>213</v>
      </c>
      <c r="AI3" s="17" t="s">
        <v>214</v>
      </c>
      <c r="AJ3" s="17" t="s">
        <v>215</v>
      </c>
      <c r="AK3" s="17" t="s">
        <v>216</v>
      </c>
      <c r="AL3" s="17" t="s">
        <v>217</v>
      </c>
      <c r="AM3" s="17" t="s">
        <v>218</v>
      </c>
      <c r="AN3" s="17" t="s">
        <v>219</v>
      </c>
      <c r="AO3" s="17" t="s">
        <v>220</v>
      </c>
      <c r="AP3" s="17" t="s">
        <v>221</v>
      </c>
      <c r="AQ3" s="17" t="s">
        <v>222</v>
      </c>
      <c r="AR3" s="17" t="s">
        <v>223</v>
      </c>
      <c r="AS3" s="17" t="s">
        <v>224</v>
      </c>
      <c r="AT3" s="17" t="s">
        <v>225</v>
      </c>
      <c r="AU3" s="17" t="s">
        <v>226</v>
      </c>
      <c r="AV3" s="17" t="s">
        <v>227</v>
      </c>
      <c r="AW3" s="17" t="s">
        <v>228</v>
      </c>
      <c r="AX3" s="17" t="s">
        <v>313</v>
      </c>
      <c r="AY3" s="17" t="s">
        <v>309</v>
      </c>
      <c r="AZ3" s="17" t="s">
        <v>310</v>
      </c>
      <c r="BA3" s="17" t="s">
        <v>314</v>
      </c>
      <c r="BB3" s="17" t="s">
        <v>315</v>
      </c>
      <c r="BD3" s="231" t="s">
        <v>641</v>
      </c>
      <c r="BE3" s="17" t="s">
        <v>230</v>
      </c>
      <c r="BF3" s="231" t="s">
        <v>614</v>
      </c>
      <c r="BH3" s="17" t="s">
        <v>229</v>
      </c>
      <c r="BI3" s="17" t="s">
        <v>234</v>
      </c>
      <c r="BJ3" s="17" t="s">
        <v>233</v>
      </c>
      <c r="BK3" s="17" t="s">
        <v>232</v>
      </c>
      <c r="BL3" s="17" t="s">
        <v>236</v>
      </c>
      <c r="BM3" s="17" t="s">
        <v>237</v>
      </c>
      <c r="BN3" s="17" t="s">
        <v>238</v>
      </c>
      <c r="BP3" s="17" t="s">
        <v>239</v>
      </c>
      <c r="BQ3" s="17" t="s">
        <v>234</v>
      </c>
      <c r="BR3" s="17" t="s">
        <v>233</v>
      </c>
      <c r="BS3" s="24" t="s">
        <v>231</v>
      </c>
      <c r="BU3" s="17" t="s">
        <v>239</v>
      </c>
      <c r="BW3" s="228" t="s">
        <v>293</v>
      </c>
      <c r="BX3" s="228" t="s">
        <v>294</v>
      </c>
      <c r="BY3" s="228" t="s">
        <v>295</v>
      </c>
      <c r="BZ3" s="228" t="s">
        <v>296</v>
      </c>
      <c r="CA3" s="228" t="s">
        <v>297</v>
      </c>
      <c r="CB3" s="228" t="s">
        <v>298</v>
      </c>
      <c r="CC3" s="228" t="s">
        <v>299</v>
      </c>
      <c r="CD3" s="228" t="s">
        <v>300</v>
      </c>
      <c r="CE3" s="228" t="s">
        <v>301</v>
      </c>
      <c r="CF3" s="228" t="s">
        <v>302</v>
      </c>
      <c r="CG3" s="228" t="s">
        <v>303</v>
      </c>
      <c r="CH3" s="228" t="s">
        <v>304</v>
      </c>
      <c r="CI3" s="228" t="s">
        <v>305</v>
      </c>
      <c r="CJ3" s="228" t="s">
        <v>306</v>
      </c>
      <c r="CK3" s="229" t="s">
        <v>308</v>
      </c>
      <c r="CL3" s="228" t="s">
        <v>309</v>
      </c>
      <c r="CM3" s="228" t="s">
        <v>310</v>
      </c>
      <c r="CN3" s="229" t="s">
        <v>311</v>
      </c>
      <c r="CO3" s="229" t="s">
        <v>312</v>
      </c>
      <c r="CP3" s="228"/>
      <c r="CQ3" s="228" t="s">
        <v>570</v>
      </c>
      <c r="CR3" s="228" t="s">
        <v>571</v>
      </c>
    </row>
    <row r="4" spans="1:96" ht="29.25">
      <c r="A4" t="str">
        <f t="shared" ref="A4:A67" si="0">RIGHT(C4,3)</f>
        <v>001</v>
      </c>
      <c r="B4">
        <f>A4*1</f>
        <v>1</v>
      </c>
      <c r="C4" s="15" t="s">
        <v>12</v>
      </c>
      <c r="D4" s="11"/>
      <c r="E4" s="9">
        <f>SUM(1572.29885057471*0.5)</f>
        <v>786.14942528735503</v>
      </c>
      <c r="F4" s="9">
        <v>1730.9862748568501</v>
      </c>
      <c r="G4" s="9">
        <v>1830.6771008123301</v>
      </c>
      <c r="H4" s="9">
        <v>1884.17964653387</v>
      </c>
      <c r="I4" s="9">
        <v>1937.0933614989699</v>
      </c>
      <c r="J4" s="9">
        <v>1954.31454578889</v>
      </c>
      <c r="K4" s="9">
        <v>1880.6492281136</v>
      </c>
      <c r="L4" s="9">
        <v>1970.7121403955</v>
      </c>
      <c r="M4" s="9">
        <v>1915.9887952510401</v>
      </c>
      <c r="N4" s="9">
        <v>1807.6988804591001</v>
      </c>
      <c r="O4" s="9">
        <v>1769.4005681818201</v>
      </c>
      <c r="P4" s="9">
        <v>1733.03125</v>
      </c>
      <c r="Q4" s="9">
        <v>1583.73295454545</v>
      </c>
      <c r="R4" s="9">
        <v>0</v>
      </c>
      <c r="S4" s="9">
        <v>2.8909034090909098</v>
      </c>
      <c r="T4" s="9">
        <v>7.5240263636363602</v>
      </c>
      <c r="U4" s="9">
        <v>48.890476549056899</v>
      </c>
      <c r="V4" s="9">
        <v>69.449059826763701</v>
      </c>
      <c r="W4" s="9">
        <v>100.205045389579</v>
      </c>
      <c r="X4" s="9">
        <v>160.18533036259501</v>
      </c>
      <c r="Y4" s="9">
        <v>0</v>
      </c>
      <c r="Z4" s="9">
        <v>0.2</v>
      </c>
      <c r="AA4" s="9">
        <v>0.78260869565217395</v>
      </c>
      <c r="AB4" s="9">
        <v>1.0086206896551699</v>
      </c>
      <c r="AC4" s="9">
        <v>1.5343511450381699</v>
      </c>
      <c r="AD4" s="9">
        <v>3.34463276836158</v>
      </c>
      <c r="AE4" s="9">
        <v>4.9593023255814002</v>
      </c>
      <c r="AF4" s="9">
        <v>4.0231213872832399</v>
      </c>
      <c r="AG4" s="9">
        <v>2.2678571428571401</v>
      </c>
      <c r="AH4" s="9">
        <v>0</v>
      </c>
      <c r="AI4" s="9">
        <v>0</v>
      </c>
      <c r="AJ4" s="9">
        <v>0.31578947368421101</v>
      </c>
      <c r="AK4" s="9">
        <v>0.84210526315789502</v>
      </c>
      <c r="AL4" s="9">
        <v>0.78947368421052599</v>
      </c>
      <c r="AM4" s="9">
        <v>5.0789473684210504</v>
      </c>
      <c r="AN4" s="9">
        <v>3.9736842105263199</v>
      </c>
      <c r="AO4" s="9">
        <v>7.1052631578947398</v>
      </c>
      <c r="AP4" s="9">
        <v>0.65789473684210498</v>
      </c>
      <c r="AQ4" s="9">
        <v>0</v>
      </c>
      <c r="AR4" s="9">
        <v>17.6606470588235</v>
      </c>
      <c r="AS4" s="9">
        <v>18.9523137254902</v>
      </c>
      <c r="AT4" s="9">
        <v>10.750415686274501</v>
      </c>
      <c r="AU4" s="9">
        <v>103.185388235294</v>
      </c>
      <c r="AV4" s="9">
        <v>91.7881490196078</v>
      </c>
      <c r="AW4" s="9">
        <v>131.82206274509801</v>
      </c>
      <c r="AX4" s="9">
        <f>SUM(E4:AW4)*1.05</f>
        <v>24764.041724252507</v>
      </c>
      <c r="AY4" s="9">
        <f>SUM(E4:H4)*1.05</f>
        <v>6543.5920698649261</v>
      </c>
      <c r="AZ4" s="9">
        <f>SUM(AT4:AW4,AM4:AP4,AD4:AG4,U4:X4,N4:Q4)*1.05</f>
        <v>8023.6277983033269</v>
      </c>
      <c r="BA4" s="9">
        <f>SUM(E4,AQ4,AH4:AJ4,Y4:AA4,R4,F4:K4)*1.05</f>
        <v>12605.615380114261</v>
      </c>
      <c r="BB4" s="9">
        <f>SUM(AR4:AW4,AK4:AP4,AB4:AG4,S4:X4,L4:Q4)*1.05</f>
        <v>12158.426344138252</v>
      </c>
      <c r="BC4" s="20"/>
      <c r="BD4" s="9">
        <v>11342</v>
      </c>
      <c r="BF4" s="9">
        <v>12416</v>
      </c>
      <c r="BH4" s="9">
        <v>3105</v>
      </c>
      <c r="BI4" s="9">
        <f>IFERROR(BH4*1,"")</f>
        <v>3105</v>
      </c>
      <c r="BJ4" s="9">
        <f>IFERROR(IF(BH4&gt;0,SUM(E4:Q4),""),"")</f>
        <v>22784.614171724774</v>
      </c>
      <c r="BK4" s="12">
        <f t="shared" ref="BK4:BK35" si="1">IFERROR(BH4*1,SUM(E4:Q4)*$BJ$179)</f>
        <v>3105</v>
      </c>
      <c r="BP4" s="9">
        <v>2853</v>
      </c>
      <c r="BQ4" s="9">
        <f>IFERROR(BP4*1,"")</f>
        <v>2853</v>
      </c>
      <c r="BR4" s="12">
        <f>IFERROR(IF(BP4=BQ4,SUM(E4:Q4),""),"")</f>
        <v>22784.614171724774</v>
      </c>
      <c r="BS4" s="23">
        <f t="shared" ref="BS4:BS35" si="2">IFERROR(BP4*1,SUM(E4:Q4)*$BR$179)</f>
        <v>2853</v>
      </c>
      <c r="BU4" s="9">
        <v>3842</v>
      </c>
      <c r="BW4" s="9">
        <v>311</v>
      </c>
      <c r="BX4" s="9">
        <v>1527</v>
      </c>
      <c r="BY4" s="9">
        <v>1692</v>
      </c>
      <c r="BZ4" s="9">
        <v>1732</v>
      </c>
      <c r="CA4" s="9">
        <v>1869</v>
      </c>
      <c r="CB4" s="9">
        <v>1967</v>
      </c>
      <c r="CC4" s="9">
        <v>2015</v>
      </c>
      <c r="CD4" s="9">
        <v>2061</v>
      </c>
      <c r="CE4" s="9">
        <v>1998</v>
      </c>
      <c r="CF4" s="9">
        <v>2110</v>
      </c>
      <c r="CG4" s="9">
        <v>2124</v>
      </c>
      <c r="CH4" s="9">
        <v>2050</v>
      </c>
      <c r="CI4" s="9">
        <v>2023</v>
      </c>
      <c r="CJ4" s="9">
        <v>2050</v>
      </c>
      <c r="CK4" s="12">
        <f>SUM(BY4,BZ4,CA4,CB4,CC4,CD4,CE4,CF4,CG4,CH4,CI4,CJ4) + (BX4*0.5)</f>
        <v>24454.5</v>
      </c>
      <c r="CL4" s="9">
        <f>SUM(BY4:CA4) +( BX4*0.5)</f>
        <v>6056.5</v>
      </c>
      <c r="CM4" s="9">
        <f>SUM(CG4:CJ4)</f>
        <v>8247</v>
      </c>
      <c r="CN4" s="9">
        <f>SUM(BY4:CD4) + (BX4*0.5)</f>
        <v>12099.5</v>
      </c>
      <c r="CO4" s="9">
        <f t="shared" ref="CO4:CO14" si="3">MAX($D$181,(SUM(CE4:CJ4)))</f>
        <v>12355</v>
      </c>
      <c r="CQ4" s="9">
        <f>SUM(BX4:CD4)</f>
        <v>12863</v>
      </c>
      <c r="CR4" s="9">
        <f>SUM(CE4:CJ4)</f>
        <v>12355</v>
      </c>
    </row>
    <row r="5" spans="1:96" ht="29.25">
      <c r="A5" t="str">
        <f t="shared" si="0"/>
        <v>002</v>
      </c>
      <c r="B5">
        <f t="shared" ref="B5:B68" si="4">A5*1</f>
        <v>2</v>
      </c>
      <c r="C5" s="15" t="s">
        <v>13</v>
      </c>
      <c r="D5" s="11"/>
      <c r="E5" s="9">
        <f>SUM(2314.81417933496*0.5)</f>
        <v>1157.40708966748</v>
      </c>
      <c r="F5" s="9">
        <v>2610.4828108576899</v>
      </c>
      <c r="G5" s="9">
        <v>2485.8428226760698</v>
      </c>
      <c r="H5" s="9">
        <v>2697.3203945310102</v>
      </c>
      <c r="I5" s="9">
        <v>2760.7494804879698</v>
      </c>
      <c r="J5" s="9">
        <v>2897.4111393138801</v>
      </c>
      <c r="K5" s="9">
        <v>2950.6205807567699</v>
      </c>
      <c r="L5" s="9">
        <v>2859.6906199210598</v>
      </c>
      <c r="M5" s="9">
        <v>2827.6361918019902</v>
      </c>
      <c r="N5" s="9">
        <v>2916.8530420269399</v>
      </c>
      <c r="O5" s="9">
        <v>2667.0836772595999</v>
      </c>
      <c r="P5" s="9">
        <v>2418.33573201938</v>
      </c>
      <c r="Q5" s="9">
        <v>2405.7910352214099</v>
      </c>
      <c r="R5" s="9">
        <v>29.156838074078198</v>
      </c>
      <c r="S5" s="9">
        <v>107.386826262052</v>
      </c>
      <c r="T5" s="9">
        <v>119.15712854535801</v>
      </c>
      <c r="U5" s="9">
        <v>83.659090654097497</v>
      </c>
      <c r="V5" s="9">
        <v>107.967176910524</v>
      </c>
      <c r="W5" s="9">
        <v>114.438475324403</v>
      </c>
      <c r="X5" s="9">
        <v>157.15911899721499</v>
      </c>
      <c r="Y5" s="9">
        <v>0</v>
      </c>
      <c r="Z5" s="9">
        <v>0</v>
      </c>
      <c r="AA5" s="9">
        <v>0</v>
      </c>
      <c r="AB5" s="9">
        <v>0</v>
      </c>
      <c r="AC5" s="9">
        <v>0</v>
      </c>
      <c r="AD5" s="9">
        <v>0</v>
      </c>
      <c r="AE5" s="9">
        <v>0</v>
      </c>
      <c r="AF5" s="9">
        <v>0</v>
      </c>
      <c r="AG5" s="9">
        <v>0</v>
      </c>
      <c r="AH5" s="9">
        <v>0</v>
      </c>
      <c r="AI5" s="9">
        <v>0</v>
      </c>
      <c r="AJ5" s="9">
        <v>0</v>
      </c>
      <c r="AK5" s="9">
        <v>0</v>
      </c>
      <c r="AL5" s="9">
        <v>0</v>
      </c>
      <c r="AM5" s="9">
        <v>0</v>
      </c>
      <c r="AN5" s="9">
        <v>0</v>
      </c>
      <c r="AO5" s="9">
        <v>0</v>
      </c>
      <c r="AP5" s="9">
        <v>0</v>
      </c>
      <c r="AQ5" s="9">
        <v>8.7450980392156907</v>
      </c>
      <c r="AR5" s="9">
        <v>1.31372549019608</v>
      </c>
      <c r="AS5" s="9">
        <v>97.813725490196106</v>
      </c>
      <c r="AT5" s="9">
        <v>9.3372549019607796</v>
      </c>
      <c r="AU5" s="9">
        <v>43.017647058823499</v>
      </c>
      <c r="AV5" s="9">
        <v>50.152941176470598</v>
      </c>
      <c r="AW5" s="9">
        <v>83.717647058823502</v>
      </c>
      <c r="AX5" s="9">
        <f t="shared" ref="AX5:AX68" si="5">SUM(E5:AW5)*1.05</f>
        <v>36401.65967605092</v>
      </c>
      <c r="AY5" s="9">
        <f t="shared" ref="AY5:AY68" si="6">SUM(E5:H5)*1.05</f>
        <v>9398.6057736188632</v>
      </c>
      <c r="AZ5" s="9">
        <f t="shared" ref="AZ5:AZ68" si="7">SUM(AT5:AW5,AM5:AP5,AD5:AG5,U5:X5,N5:Q5)*1.05</f>
        <v>11610.38848054013</v>
      </c>
      <c r="BA5" s="9">
        <f t="shared" ref="BA5:BA68" si="8">SUM(E5,AQ5,AH5:AJ5,Y5:AA5,R5,F5:K5)*1.05</f>
        <v>18477.623067124372</v>
      </c>
      <c r="BB5" s="9">
        <f t="shared" ref="BB5:BB68" si="9">SUM(AR5:AW5,AK5:AP5,AB5:AG5,S5:X5,L5:Q5)*1.05</f>
        <v>17924.036608926526</v>
      </c>
      <c r="BC5" s="20"/>
      <c r="BD5" s="9">
        <v>9221</v>
      </c>
      <c r="BF5" s="9">
        <v>9492</v>
      </c>
      <c r="BH5" s="9">
        <v>4001</v>
      </c>
      <c r="BI5" s="9">
        <f t="shared" ref="BI5:BI68" si="10">IFERROR(BH5*1,"")</f>
        <v>4001</v>
      </c>
      <c r="BJ5" s="9">
        <f t="shared" ref="BJ5:BJ48" si="11">IFERROR(IF(BH5&gt;0,SUM(E5:Q5),""),"")</f>
        <v>33655.224616541258</v>
      </c>
      <c r="BK5" s="12">
        <f t="shared" si="1"/>
        <v>4001</v>
      </c>
      <c r="BP5" s="9">
        <v>1841</v>
      </c>
      <c r="BQ5" s="9">
        <f t="shared" ref="BQ5:BQ68" si="12">IFERROR(BP5*1,"")</f>
        <v>1841</v>
      </c>
      <c r="BR5" s="12">
        <f t="shared" ref="BR5:BR68" si="13">IFERROR(IF(BP5=BQ5,SUM(E5:Q5),""),"")</f>
        <v>33655.224616541258</v>
      </c>
      <c r="BS5" s="23">
        <f t="shared" si="2"/>
        <v>1841</v>
      </c>
      <c r="BU5" s="9">
        <v>2545</v>
      </c>
      <c r="BW5" s="9">
        <v>396</v>
      </c>
      <c r="BX5" s="9">
        <v>2642</v>
      </c>
      <c r="BY5" s="9">
        <v>2729</v>
      </c>
      <c r="BZ5" s="9">
        <v>2939</v>
      </c>
      <c r="CA5" s="9">
        <v>2839</v>
      </c>
      <c r="CB5" s="9">
        <v>3055</v>
      </c>
      <c r="CC5" s="9">
        <v>3138</v>
      </c>
      <c r="CD5" s="9">
        <v>3255</v>
      </c>
      <c r="CE5" s="9">
        <v>3234</v>
      </c>
      <c r="CF5" s="9">
        <v>3187</v>
      </c>
      <c r="CG5" s="9">
        <v>3186</v>
      </c>
      <c r="CH5" s="9">
        <v>3222</v>
      </c>
      <c r="CI5" s="9">
        <v>2943</v>
      </c>
      <c r="CJ5" s="9">
        <v>2767</v>
      </c>
      <c r="CK5" s="12">
        <f t="shared" ref="CK5:CK35" si="14">SUM(BY5,BZ5,CA5,CB5,CC5,CD5,CE5,CF5,CG5,CH5,CI5,CJ5) + (BX5*0.5)</f>
        <v>37815</v>
      </c>
      <c r="CL5" s="9">
        <f t="shared" ref="CL5:CL68" si="15">SUM(BY5:CA5) +( BX5*0.5)</f>
        <v>9828</v>
      </c>
      <c r="CM5" s="9">
        <f t="shared" ref="CM5:CM68" si="16">SUM(CG5:CJ5)</f>
        <v>12118</v>
      </c>
      <c r="CN5" s="9">
        <f t="shared" ref="CN5:CN68" si="17">SUM(BY5:CD5) + (BX5*0.5)</f>
        <v>19276</v>
      </c>
      <c r="CO5" s="9">
        <f t="shared" si="3"/>
        <v>18539</v>
      </c>
      <c r="CQ5" s="9">
        <f t="shared" ref="CQ5:CQ68" si="18">SUM(BX5:CD5)</f>
        <v>20597</v>
      </c>
      <c r="CR5" s="9">
        <f t="shared" ref="CR5:CR68" si="19">SUM(CE5:CJ5)</f>
        <v>18539</v>
      </c>
    </row>
    <row r="6" spans="1:96" ht="29.25">
      <c r="A6" t="str">
        <f t="shared" si="0"/>
        <v>003</v>
      </c>
      <c r="B6">
        <f t="shared" si="4"/>
        <v>3</v>
      </c>
      <c r="C6" s="15" t="s">
        <v>14</v>
      </c>
      <c r="D6" s="11"/>
      <c r="E6" s="9">
        <f>SUM(295.290074596843*0.5)</f>
        <v>147.6450372984215</v>
      </c>
      <c r="F6" s="9">
        <v>362.08430232558101</v>
      </c>
      <c r="G6" s="9">
        <v>359</v>
      </c>
      <c r="H6" s="9">
        <v>393.33720930232602</v>
      </c>
      <c r="I6" s="9">
        <v>379.21511627907</v>
      </c>
      <c r="J6" s="9">
        <v>457.74709302325601</v>
      </c>
      <c r="K6" s="9">
        <v>413.66279069767398</v>
      </c>
      <c r="L6" s="9">
        <v>404.45930232558101</v>
      </c>
      <c r="M6" s="9">
        <v>398.40116279069798</v>
      </c>
      <c r="N6" s="9">
        <v>426.31104651162798</v>
      </c>
      <c r="O6" s="9">
        <v>377.93023255814001</v>
      </c>
      <c r="P6" s="9">
        <v>324.33720930232602</v>
      </c>
      <c r="Q6" s="9">
        <v>308.18604651162798</v>
      </c>
      <c r="R6" s="9">
        <v>0</v>
      </c>
      <c r="S6" s="9">
        <v>0</v>
      </c>
      <c r="T6" s="9">
        <v>0</v>
      </c>
      <c r="U6" s="9">
        <v>7.6967148653554602</v>
      </c>
      <c r="V6" s="9">
        <v>23.420370968399901</v>
      </c>
      <c r="W6" s="9">
        <v>24.976521237444398</v>
      </c>
      <c r="X6" s="9">
        <v>30.594417350285401</v>
      </c>
      <c r="Y6" s="9">
        <v>0</v>
      </c>
      <c r="Z6" s="9">
        <v>0</v>
      </c>
      <c r="AA6" s="9">
        <v>0</v>
      </c>
      <c r="AB6" s="9">
        <v>0</v>
      </c>
      <c r="AC6" s="9">
        <v>0</v>
      </c>
      <c r="AD6" s="9">
        <v>0</v>
      </c>
      <c r="AE6" s="9">
        <v>0</v>
      </c>
      <c r="AF6" s="9">
        <v>0</v>
      </c>
      <c r="AG6" s="9">
        <v>0</v>
      </c>
      <c r="AH6" s="9">
        <v>0</v>
      </c>
      <c r="AI6" s="9">
        <v>0</v>
      </c>
      <c r="AJ6" s="9">
        <v>0</v>
      </c>
      <c r="AK6" s="9">
        <v>0</v>
      </c>
      <c r="AL6" s="9">
        <v>0</v>
      </c>
      <c r="AM6" s="9">
        <v>0</v>
      </c>
      <c r="AN6" s="9">
        <v>0</v>
      </c>
      <c r="AO6" s="9">
        <v>0</v>
      </c>
      <c r="AP6" s="9">
        <v>0</v>
      </c>
      <c r="AQ6" s="9">
        <v>0</v>
      </c>
      <c r="AR6" s="9">
        <v>3.8970588235294099</v>
      </c>
      <c r="AS6" s="9">
        <v>9.9558823529411793</v>
      </c>
      <c r="AT6" s="9">
        <v>35.097725490196098</v>
      </c>
      <c r="AU6" s="9">
        <v>22.5982352941176</v>
      </c>
      <c r="AV6" s="9">
        <v>27.5289411764706</v>
      </c>
      <c r="AW6" s="9">
        <v>10.7205882352941</v>
      </c>
      <c r="AX6" s="9">
        <f t="shared" si="5"/>
        <v>5196.2431549563835</v>
      </c>
      <c r="AY6" s="9">
        <f t="shared" si="6"/>
        <v>1325.1698763726449</v>
      </c>
      <c r="AZ6" s="9">
        <f t="shared" si="7"/>
        <v>1700.36795197635</v>
      </c>
      <c r="BA6" s="9">
        <f t="shared" si="8"/>
        <v>2638.3261263726454</v>
      </c>
      <c r="BB6" s="9">
        <f t="shared" si="9"/>
        <v>2557.9170285837367</v>
      </c>
      <c r="BC6" s="20"/>
      <c r="BD6" s="9">
        <v>1942</v>
      </c>
      <c r="BF6" s="9">
        <v>1678</v>
      </c>
      <c r="BH6" s="9">
        <v>646</v>
      </c>
      <c r="BI6" s="9">
        <f t="shared" si="10"/>
        <v>646</v>
      </c>
      <c r="BJ6" s="9">
        <f t="shared" si="11"/>
        <v>4752.3165489263301</v>
      </c>
      <c r="BK6" s="12">
        <f t="shared" si="1"/>
        <v>646</v>
      </c>
      <c r="BP6" s="9">
        <v>190</v>
      </c>
      <c r="BQ6" s="9">
        <f t="shared" si="12"/>
        <v>190</v>
      </c>
      <c r="BR6" s="12">
        <f t="shared" si="13"/>
        <v>4752.3165489263301</v>
      </c>
      <c r="BS6" s="23">
        <f t="shared" si="2"/>
        <v>190</v>
      </c>
      <c r="BU6" s="9">
        <v>37</v>
      </c>
      <c r="BW6" s="9">
        <v>79</v>
      </c>
      <c r="BX6" s="9">
        <v>374</v>
      </c>
      <c r="BY6" s="9">
        <v>343</v>
      </c>
      <c r="BZ6" s="9">
        <v>375</v>
      </c>
      <c r="CA6" s="9">
        <v>375</v>
      </c>
      <c r="CB6" s="9">
        <v>405</v>
      </c>
      <c r="CC6" s="9">
        <v>406</v>
      </c>
      <c r="CD6" s="9">
        <v>455</v>
      </c>
      <c r="CE6" s="9">
        <v>415</v>
      </c>
      <c r="CF6" s="9">
        <v>430</v>
      </c>
      <c r="CG6" s="9">
        <v>470</v>
      </c>
      <c r="CH6" s="9">
        <v>461</v>
      </c>
      <c r="CI6" s="9">
        <v>427</v>
      </c>
      <c r="CJ6" s="9">
        <v>385</v>
      </c>
      <c r="CK6" s="12">
        <f t="shared" si="14"/>
        <v>5134</v>
      </c>
      <c r="CL6" s="9">
        <f t="shared" si="15"/>
        <v>1280</v>
      </c>
      <c r="CM6" s="9">
        <f t="shared" si="16"/>
        <v>1743</v>
      </c>
      <c r="CN6" s="9">
        <f t="shared" si="17"/>
        <v>2546</v>
      </c>
      <c r="CO6" s="9">
        <f t="shared" si="3"/>
        <v>2588</v>
      </c>
      <c r="CQ6" s="9">
        <f t="shared" si="18"/>
        <v>2733</v>
      </c>
      <c r="CR6" s="9">
        <f t="shared" si="19"/>
        <v>2588</v>
      </c>
    </row>
    <row r="7" spans="1:96" ht="29.25">
      <c r="A7" t="str">
        <f t="shared" si="0"/>
        <v>011</v>
      </c>
      <c r="B7">
        <f t="shared" si="4"/>
        <v>11</v>
      </c>
      <c r="C7" s="15" t="s">
        <v>15</v>
      </c>
      <c r="D7" s="11"/>
      <c r="E7" s="9">
        <f>SUM(4.87058823529412*0.5)</f>
        <v>2.4352941176470599</v>
      </c>
      <c r="F7" s="9">
        <v>7.9235294117647097</v>
      </c>
      <c r="G7" s="9">
        <v>5.5470588235294098</v>
      </c>
      <c r="H7" s="9">
        <v>15.488235294117599</v>
      </c>
      <c r="I7" s="9">
        <v>8.5</v>
      </c>
      <c r="J7" s="9">
        <v>15.329411764705901</v>
      </c>
      <c r="K7" s="9">
        <v>15.520588235294101</v>
      </c>
      <c r="L7" s="9">
        <v>13.141176470588199</v>
      </c>
      <c r="M7" s="9">
        <v>16.5760237141562</v>
      </c>
      <c r="N7" s="9">
        <v>11.8</v>
      </c>
      <c r="O7" s="9">
        <v>7.7676470588235302</v>
      </c>
      <c r="P7" s="9">
        <v>10.122306932014199</v>
      </c>
      <c r="Q7" s="9">
        <v>10.1970588235294</v>
      </c>
      <c r="R7" s="9">
        <v>0</v>
      </c>
      <c r="S7" s="9">
        <v>0</v>
      </c>
      <c r="T7" s="9">
        <v>0</v>
      </c>
      <c r="U7" s="9">
        <v>0</v>
      </c>
      <c r="V7" s="9">
        <v>0</v>
      </c>
      <c r="W7" s="9">
        <v>0</v>
      </c>
      <c r="X7" s="9">
        <v>0</v>
      </c>
      <c r="Y7" s="9">
        <v>0</v>
      </c>
      <c r="Z7" s="9">
        <v>0</v>
      </c>
      <c r="AA7" s="9">
        <v>0</v>
      </c>
      <c r="AB7" s="9">
        <v>0</v>
      </c>
      <c r="AC7" s="9">
        <v>0</v>
      </c>
      <c r="AD7" s="9">
        <v>0</v>
      </c>
      <c r="AE7" s="9">
        <v>0</v>
      </c>
      <c r="AF7" s="9">
        <v>0</v>
      </c>
      <c r="AG7" s="9">
        <v>0</v>
      </c>
      <c r="AH7" s="9">
        <v>0</v>
      </c>
      <c r="AI7" s="9">
        <v>0</v>
      </c>
      <c r="AJ7" s="9">
        <v>0</v>
      </c>
      <c r="AK7" s="9">
        <v>0</v>
      </c>
      <c r="AL7" s="9">
        <v>0</v>
      </c>
      <c r="AM7" s="9">
        <v>0</v>
      </c>
      <c r="AN7" s="9">
        <v>0</v>
      </c>
      <c r="AO7" s="9">
        <v>0</v>
      </c>
      <c r="AP7" s="9">
        <v>0</v>
      </c>
      <c r="AQ7" s="9">
        <v>0</v>
      </c>
      <c r="AR7" s="9">
        <v>0</v>
      </c>
      <c r="AS7" s="9">
        <v>0</v>
      </c>
      <c r="AT7" s="9">
        <v>0</v>
      </c>
      <c r="AU7" s="9">
        <v>0</v>
      </c>
      <c r="AV7" s="9">
        <v>0</v>
      </c>
      <c r="AW7" s="9">
        <v>0</v>
      </c>
      <c r="AX7" s="9">
        <f t="shared" si="5"/>
        <v>147.36574717847884</v>
      </c>
      <c r="AY7" s="9">
        <f t="shared" si="6"/>
        <v>32.963823529411719</v>
      </c>
      <c r="AZ7" s="9">
        <f t="shared" si="7"/>
        <v>41.881363455085484</v>
      </c>
      <c r="BA7" s="9">
        <f t="shared" si="8"/>
        <v>74.281323529411722</v>
      </c>
      <c r="BB7" s="9">
        <f t="shared" si="9"/>
        <v>73.084423649067105</v>
      </c>
      <c r="BC7" s="20"/>
      <c r="BD7" s="9">
        <v>87</v>
      </c>
      <c r="BF7" s="9">
        <v>66</v>
      </c>
      <c r="BH7" s="9">
        <v>25</v>
      </c>
      <c r="BI7" s="9">
        <f t="shared" si="10"/>
        <v>25</v>
      </c>
      <c r="BJ7" s="9">
        <f t="shared" si="11"/>
        <v>140.34833064617033</v>
      </c>
      <c r="BK7" s="12">
        <f t="shared" si="1"/>
        <v>25</v>
      </c>
      <c r="BP7" s="9">
        <v>9</v>
      </c>
      <c r="BQ7" s="9">
        <f t="shared" si="12"/>
        <v>9</v>
      </c>
      <c r="BR7" s="12">
        <f t="shared" si="13"/>
        <v>140.34833064617033</v>
      </c>
      <c r="BS7" s="23">
        <f t="shared" si="2"/>
        <v>9</v>
      </c>
      <c r="BU7" s="9">
        <v>0</v>
      </c>
      <c r="BW7" s="9">
        <v>15</v>
      </c>
      <c r="BX7" s="9">
        <v>12</v>
      </c>
      <c r="BY7" s="9">
        <v>8</v>
      </c>
      <c r="BZ7" s="9">
        <v>7</v>
      </c>
      <c r="CA7" s="9">
        <v>7</v>
      </c>
      <c r="CB7" s="9">
        <v>16</v>
      </c>
      <c r="CC7" s="9">
        <v>14</v>
      </c>
      <c r="CD7" s="9">
        <v>19</v>
      </c>
      <c r="CE7" s="9">
        <v>15</v>
      </c>
      <c r="CF7" s="9">
        <v>15</v>
      </c>
      <c r="CG7" s="9">
        <v>14</v>
      </c>
      <c r="CH7" s="9">
        <v>10</v>
      </c>
      <c r="CI7" s="9">
        <v>6</v>
      </c>
      <c r="CJ7" s="9">
        <v>10</v>
      </c>
      <c r="CK7" s="12">
        <f t="shared" si="14"/>
        <v>147</v>
      </c>
      <c r="CL7" s="9">
        <f t="shared" si="15"/>
        <v>28</v>
      </c>
      <c r="CM7" s="9">
        <f t="shared" si="16"/>
        <v>40</v>
      </c>
      <c r="CN7" s="9">
        <f t="shared" si="17"/>
        <v>77</v>
      </c>
      <c r="CO7" s="9">
        <f t="shared" si="3"/>
        <v>100</v>
      </c>
      <c r="CQ7" s="9">
        <f t="shared" si="18"/>
        <v>83</v>
      </c>
      <c r="CR7" s="9">
        <f t="shared" si="19"/>
        <v>70</v>
      </c>
    </row>
    <row r="8" spans="1:96" ht="29.25">
      <c r="A8" t="str">
        <f t="shared" si="0"/>
        <v>013</v>
      </c>
      <c r="B8">
        <f t="shared" si="4"/>
        <v>13</v>
      </c>
      <c r="C8" s="15" t="s">
        <v>16</v>
      </c>
      <c r="D8" s="11"/>
      <c r="E8" s="9">
        <f>SUM(14.2357142857143*0.5)</f>
        <v>7.11785714285715</v>
      </c>
      <c r="F8" s="9">
        <v>18.375</v>
      </c>
      <c r="G8" s="9">
        <v>22.35</v>
      </c>
      <c r="H8" s="9">
        <v>16.560714285714301</v>
      </c>
      <c r="I8" s="9">
        <v>20.7214285714286</v>
      </c>
      <c r="J8" s="9">
        <v>22.089285714285701</v>
      </c>
      <c r="K8" s="9">
        <v>25.975000000000001</v>
      </c>
      <c r="L8" s="9">
        <v>28.3556338028169</v>
      </c>
      <c r="M8" s="9">
        <v>14.1197183098592</v>
      </c>
      <c r="N8" s="9">
        <v>15.753521126760599</v>
      </c>
      <c r="O8" s="9">
        <v>17.911971830985902</v>
      </c>
      <c r="P8" s="9">
        <v>12.5140845070423</v>
      </c>
      <c r="Q8" s="9">
        <v>14.2816901408451</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f t="shared" si="5"/>
        <v>247.93220070422555</v>
      </c>
      <c r="AY8" s="9">
        <f t="shared" si="6"/>
        <v>67.62375000000003</v>
      </c>
      <c r="AZ8" s="9">
        <f t="shared" si="7"/>
        <v>63.484330985915598</v>
      </c>
      <c r="BA8" s="9">
        <f t="shared" si="8"/>
        <v>139.84875000000005</v>
      </c>
      <c r="BB8" s="9">
        <f t="shared" si="9"/>
        <v>108.0834507042255</v>
      </c>
      <c r="BC8" s="20"/>
      <c r="BD8" s="9">
        <v>129</v>
      </c>
      <c r="BF8" s="9">
        <v>144</v>
      </c>
      <c r="BH8" s="9">
        <v>27</v>
      </c>
      <c r="BI8" s="9">
        <f t="shared" si="10"/>
        <v>27</v>
      </c>
      <c r="BJ8" s="9">
        <f t="shared" si="11"/>
        <v>236.12590543259574</v>
      </c>
      <c r="BK8" s="12">
        <f t="shared" si="1"/>
        <v>27</v>
      </c>
      <c r="BP8" s="9">
        <v>0</v>
      </c>
      <c r="BQ8" s="9">
        <f t="shared" si="12"/>
        <v>0</v>
      </c>
      <c r="BR8" s="12">
        <f t="shared" si="13"/>
        <v>236.12590543259574</v>
      </c>
      <c r="BS8" s="23">
        <f t="shared" si="2"/>
        <v>0</v>
      </c>
      <c r="BU8" s="9">
        <v>0</v>
      </c>
      <c r="BW8" s="9">
        <v>0</v>
      </c>
      <c r="BX8" s="9">
        <v>18</v>
      </c>
      <c r="BY8" s="9">
        <v>18</v>
      </c>
      <c r="BZ8" s="9">
        <v>20</v>
      </c>
      <c r="CA8" s="9">
        <v>22</v>
      </c>
      <c r="CB8" s="9">
        <v>23</v>
      </c>
      <c r="CC8" s="9">
        <v>25</v>
      </c>
      <c r="CD8" s="9">
        <v>22</v>
      </c>
      <c r="CE8" s="9">
        <v>30</v>
      </c>
      <c r="CF8" s="9">
        <v>32</v>
      </c>
      <c r="CG8" s="9">
        <v>20</v>
      </c>
      <c r="CH8" s="9">
        <v>22</v>
      </c>
      <c r="CI8" s="9">
        <v>19</v>
      </c>
      <c r="CJ8" s="9">
        <v>10</v>
      </c>
      <c r="CK8" s="12">
        <f t="shared" si="14"/>
        <v>272</v>
      </c>
      <c r="CL8" s="9">
        <f t="shared" si="15"/>
        <v>69</v>
      </c>
      <c r="CM8" s="9">
        <f t="shared" si="16"/>
        <v>71</v>
      </c>
      <c r="CN8" s="9">
        <f t="shared" si="17"/>
        <v>139</v>
      </c>
      <c r="CO8" s="9">
        <f t="shared" si="3"/>
        <v>133</v>
      </c>
      <c r="CQ8" s="9">
        <f t="shared" si="18"/>
        <v>148</v>
      </c>
      <c r="CR8" s="9">
        <f t="shared" si="19"/>
        <v>133</v>
      </c>
    </row>
    <row r="9" spans="1:96" ht="29.25">
      <c r="A9" t="str">
        <f t="shared" si="0"/>
        <v>021</v>
      </c>
      <c r="B9">
        <f t="shared" si="4"/>
        <v>21</v>
      </c>
      <c r="C9" s="15" t="s">
        <v>17</v>
      </c>
      <c r="D9" s="11"/>
      <c r="E9" s="9">
        <f>SUM(72.3707369598079*0.5)</f>
        <v>36.18536847990395</v>
      </c>
      <c r="F9" s="9">
        <v>90.9409722222222</v>
      </c>
      <c r="G9" s="9">
        <v>87.875</v>
      </c>
      <c r="H9" s="9">
        <v>89.2569444444444</v>
      </c>
      <c r="I9" s="9">
        <v>102.788194444444</v>
      </c>
      <c r="J9" s="9">
        <v>93.9756944444444</v>
      </c>
      <c r="K9" s="9">
        <v>113.475528558444</v>
      </c>
      <c r="L9" s="9">
        <v>100.430555555556</v>
      </c>
      <c r="M9" s="9">
        <v>107.15625</v>
      </c>
      <c r="N9" s="9">
        <v>83.7847222222222</v>
      </c>
      <c r="O9" s="9">
        <v>93.3645833333333</v>
      </c>
      <c r="P9" s="9">
        <v>95.3645833333333</v>
      </c>
      <c r="Q9" s="9">
        <v>71.5347222222222</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f t="shared" si="5"/>
        <v>1224.4397752235984</v>
      </c>
      <c r="AY9" s="9">
        <f t="shared" si="6"/>
        <v>319.47119940389905</v>
      </c>
      <c r="AZ9" s="9">
        <f t="shared" si="7"/>
        <v>361.25104166666654</v>
      </c>
      <c r="BA9" s="9">
        <f t="shared" si="8"/>
        <v>645.22258772359805</v>
      </c>
      <c r="BB9" s="9">
        <f t="shared" si="9"/>
        <v>579.21718750000036</v>
      </c>
      <c r="BC9" s="20"/>
      <c r="BD9" s="9">
        <v>506</v>
      </c>
      <c r="BF9" s="9">
        <v>515</v>
      </c>
      <c r="BH9" s="9">
        <v>180</v>
      </c>
      <c r="BI9" s="9">
        <f t="shared" si="10"/>
        <v>180</v>
      </c>
      <c r="BJ9" s="9">
        <f t="shared" si="11"/>
        <v>1166.1331192605699</v>
      </c>
      <c r="BK9" s="12">
        <f t="shared" si="1"/>
        <v>180</v>
      </c>
      <c r="BP9" s="9">
        <v>0</v>
      </c>
      <c r="BQ9" s="9">
        <f t="shared" si="12"/>
        <v>0</v>
      </c>
      <c r="BR9" s="12">
        <f t="shared" si="13"/>
        <v>1166.1331192605699</v>
      </c>
      <c r="BS9" s="23">
        <f t="shared" si="2"/>
        <v>0</v>
      </c>
      <c r="BU9" s="9">
        <v>54</v>
      </c>
      <c r="BW9" s="9">
        <v>34</v>
      </c>
      <c r="BX9" s="9">
        <v>74</v>
      </c>
      <c r="BY9" s="9">
        <v>82</v>
      </c>
      <c r="BZ9" s="9">
        <v>94</v>
      </c>
      <c r="CA9" s="9">
        <v>91</v>
      </c>
      <c r="CB9" s="9">
        <v>85</v>
      </c>
      <c r="CC9" s="9">
        <v>111</v>
      </c>
      <c r="CD9" s="9">
        <v>101</v>
      </c>
      <c r="CE9" s="9">
        <v>120</v>
      </c>
      <c r="CF9" s="9">
        <v>110</v>
      </c>
      <c r="CG9" s="9">
        <v>119</v>
      </c>
      <c r="CH9" s="9">
        <v>84</v>
      </c>
      <c r="CI9" s="9">
        <v>97</v>
      </c>
      <c r="CJ9" s="9">
        <v>98</v>
      </c>
      <c r="CK9" s="12">
        <f t="shared" si="14"/>
        <v>1229</v>
      </c>
      <c r="CL9" s="9">
        <f t="shared" si="15"/>
        <v>304</v>
      </c>
      <c r="CM9" s="9">
        <f t="shared" si="16"/>
        <v>398</v>
      </c>
      <c r="CN9" s="9">
        <f t="shared" si="17"/>
        <v>601</v>
      </c>
      <c r="CO9" s="9">
        <f t="shared" si="3"/>
        <v>628</v>
      </c>
      <c r="CQ9" s="9">
        <f t="shared" si="18"/>
        <v>638</v>
      </c>
      <c r="CR9" s="9">
        <f t="shared" si="19"/>
        <v>628</v>
      </c>
    </row>
    <row r="10" spans="1:96" ht="29.25">
      <c r="A10" t="str">
        <f t="shared" si="0"/>
        <v>025</v>
      </c>
      <c r="B10">
        <f t="shared" si="4"/>
        <v>25</v>
      </c>
      <c r="C10" s="15" t="s">
        <v>18</v>
      </c>
      <c r="D10" s="11"/>
      <c r="E10" s="9">
        <f>SUM(839.627194628857*0.5)</f>
        <v>419.81359731442848</v>
      </c>
      <c r="F10" s="9">
        <v>881.80232558139505</v>
      </c>
      <c r="G10" s="9">
        <v>872.58720930232596</v>
      </c>
      <c r="H10" s="9">
        <v>859.94767441860495</v>
      </c>
      <c r="I10" s="9">
        <v>914.05813953488405</v>
      </c>
      <c r="J10" s="9">
        <v>900.70058139534899</v>
      </c>
      <c r="K10" s="9">
        <v>891.52325581395303</v>
      </c>
      <c r="L10" s="9">
        <v>928.00290697674404</v>
      </c>
      <c r="M10" s="9">
        <v>848.94476744185999</v>
      </c>
      <c r="N10" s="9">
        <v>971.13953488372101</v>
      </c>
      <c r="O10" s="9">
        <v>894.47093023255798</v>
      </c>
      <c r="P10" s="9">
        <v>865.91569767441899</v>
      </c>
      <c r="Q10" s="9">
        <v>742.90697674418595</v>
      </c>
      <c r="R10" s="9">
        <v>3.0301511864406798</v>
      </c>
      <c r="S10" s="9">
        <v>5.9133304651162799</v>
      </c>
      <c r="T10" s="9">
        <v>3.7953860465116298</v>
      </c>
      <c r="U10" s="9">
        <v>11.1504517977631</v>
      </c>
      <c r="V10" s="9">
        <v>27.378300081778701</v>
      </c>
      <c r="W10" s="9">
        <v>31.889296795661402</v>
      </c>
      <c r="X10" s="9">
        <v>56.315809248525298</v>
      </c>
      <c r="Y10" s="9">
        <v>0</v>
      </c>
      <c r="Z10" s="9">
        <v>0.2</v>
      </c>
      <c r="AA10" s="9">
        <v>0.2</v>
      </c>
      <c r="AB10" s="9">
        <v>0.85714285714285698</v>
      </c>
      <c r="AC10" s="9">
        <v>0.57142857142857095</v>
      </c>
      <c r="AD10" s="9">
        <v>1.04</v>
      </c>
      <c r="AE10" s="9">
        <v>1.8</v>
      </c>
      <c r="AF10" s="9">
        <v>1.39864864864865</v>
      </c>
      <c r="AG10" s="9">
        <v>0.80882352941176505</v>
      </c>
      <c r="AH10" s="9">
        <v>0</v>
      </c>
      <c r="AI10" s="9">
        <v>0</v>
      </c>
      <c r="AJ10" s="9">
        <v>0.592592592592593</v>
      </c>
      <c r="AK10" s="9">
        <v>0.25925925925925902</v>
      </c>
      <c r="AL10" s="9">
        <v>0.98148148148148195</v>
      </c>
      <c r="AM10" s="9">
        <v>1.42592592592593</v>
      </c>
      <c r="AN10" s="9">
        <v>2.31481481481481</v>
      </c>
      <c r="AO10" s="9">
        <v>1.12962962962963</v>
      </c>
      <c r="AP10" s="9">
        <v>0.42592592592592599</v>
      </c>
      <c r="AQ10" s="9">
        <v>2.1137254901960798</v>
      </c>
      <c r="AR10" s="9">
        <v>29.550980392156902</v>
      </c>
      <c r="AS10" s="9">
        <v>41.341176470588202</v>
      </c>
      <c r="AT10" s="9">
        <v>31.2803921568627</v>
      </c>
      <c r="AU10" s="9">
        <v>39.845098039215699</v>
      </c>
      <c r="AV10" s="9">
        <v>43.207843137254898</v>
      </c>
      <c r="AW10" s="9">
        <v>10.156862745098</v>
      </c>
      <c r="AX10" s="9">
        <f t="shared" si="5"/>
        <v>11909.927478334057</v>
      </c>
      <c r="AY10" s="9">
        <f t="shared" si="6"/>
        <v>3185.8583469475921</v>
      </c>
      <c r="AZ10" s="9">
        <f t="shared" si="7"/>
        <v>3922.8010101119708</v>
      </c>
      <c r="BA10" s="9">
        <f t="shared" si="8"/>
        <v>6033.897715261679</v>
      </c>
      <c r="BB10" s="9">
        <f t="shared" si="9"/>
        <v>5876.0297630723735</v>
      </c>
      <c r="BC10" s="20"/>
      <c r="BD10" s="9">
        <v>5855</v>
      </c>
      <c r="BF10" s="9">
        <v>6186</v>
      </c>
      <c r="BH10" s="9">
        <v>1396</v>
      </c>
      <c r="BI10" s="9">
        <f t="shared" si="10"/>
        <v>1396</v>
      </c>
      <c r="BJ10" s="9">
        <f t="shared" si="11"/>
        <v>10991.813597314427</v>
      </c>
      <c r="BK10" s="12">
        <f t="shared" si="1"/>
        <v>1396</v>
      </c>
      <c r="BP10" s="9">
        <v>126</v>
      </c>
      <c r="BQ10" s="9">
        <f t="shared" si="12"/>
        <v>126</v>
      </c>
      <c r="BR10" s="12">
        <f t="shared" si="13"/>
        <v>10991.813597314427</v>
      </c>
      <c r="BS10" s="23">
        <f t="shared" si="2"/>
        <v>126</v>
      </c>
      <c r="BU10" s="9">
        <v>1855</v>
      </c>
      <c r="BW10" s="9">
        <v>149</v>
      </c>
      <c r="BX10" s="9">
        <v>883</v>
      </c>
      <c r="BY10" s="9">
        <v>893</v>
      </c>
      <c r="BZ10" s="9">
        <v>943</v>
      </c>
      <c r="CA10" s="9">
        <v>922</v>
      </c>
      <c r="CB10" s="9">
        <v>931</v>
      </c>
      <c r="CC10" s="9">
        <v>966</v>
      </c>
      <c r="CD10" s="9">
        <v>964</v>
      </c>
      <c r="CE10" s="9">
        <v>964</v>
      </c>
      <c r="CF10" s="9">
        <v>1012</v>
      </c>
      <c r="CG10" s="9">
        <v>1021</v>
      </c>
      <c r="CH10" s="9">
        <v>1030</v>
      </c>
      <c r="CI10" s="9">
        <v>950</v>
      </c>
      <c r="CJ10" s="9">
        <v>979</v>
      </c>
      <c r="CK10" s="12">
        <f t="shared" si="14"/>
        <v>12016.5</v>
      </c>
      <c r="CL10" s="9">
        <f t="shared" si="15"/>
        <v>3199.5</v>
      </c>
      <c r="CM10" s="9">
        <f t="shared" si="16"/>
        <v>3980</v>
      </c>
      <c r="CN10" s="9">
        <f t="shared" si="17"/>
        <v>6060.5</v>
      </c>
      <c r="CO10" s="9">
        <f t="shared" si="3"/>
        <v>5956</v>
      </c>
      <c r="CQ10" s="9">
        <f t="shared" si="18"/>
        <v>6502</v>
      </c>
      <c r="CR10" s="9">
        <f t="shared" si="19"/>
        <v>5956</v>
      </c>
    </row>
    <row r="11" spans="1:96" ht="29.25">
      <c r="A11" t="str">
        <f t="shared" si="0"/>
        <v>033</v>
      </c>
      <c r="B11">
        <f t="shared" si="4"/>
        <v>33</v>
      </c>
      <c r="C11" s="15" t="s">
        <v>19</v>
      </c>
      <c r="D11" s="11"/>
      <c r="E11" s="9">
        <f>SUM(87.0422535211268*0.5)</f>
        <v>43.521126760563398</v>
      </c>
      <c r="F11" s="9">
        <v>91.887323943661997</v>
      </c>
      <c r="G11" s="9">
        <v>106.82042253521099</v>
      </c>
      <c r="H11" s="9">
        <v>78.014084507042298</v>
      </c>
      <c r="I11" s="9">
        <v>88.845070422535201</v>
      </c>
      <c r="J11" s="9">
        <v>84.535211267605604</v>
      </c>
      <c r="K11" s="9">
        <v>86.353146853146896</v>
      </c>
      <c r="L11" s="9">
        <v>77.699300699300693</v>
      </c>
      <c r="M11" s="9">
        <v>85.472027972028002</v>
      </c>
      <c r="N11" s="9">
        <v>68.493006993007</v>
      </c>
      <c r="O11" s="9">
        <v>83.188811188811201</v>
      </c>
      <c r="P11" s="9">
        <v>64.223776223776198</v>
      </c>
      <c r="Q11" s="9">
        <v>77.335664335664305</v>
      </c>
      <c r="R11" s="9">
        <v>0</v>
      </c>
      <c r="S11" s="9">
        <v>0</v>
      </c>
      <c r="T11" s="9">
        <v>0</v>
      </c>
      <c r="U11" s="9">
        <v>1.02153846153846</v>
      </c>
      <c r="V11" s="9">
        <v>4.0922316518433002</v>
      </c>
      <c r="W11" s="9">
        <v>3.72027972027972</v>
      </c>
      <c r="X11" s="9">
        <v>2.41846153846154</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f t="shared" si="5"/>
        <v>1100.0235593282007</v>
      </c>
      <c r="AY11" s="9">
        <f t="shared" si="6"/>
        <v>336.2551056338026</v>
      </c>
      <c r="AZ11" s="9">
        <f t="shared" si="7"/>
        <v>319.71845861905086</v>
      </c>
      <c r="BA11" s="9">
        <f t="shared" si="8"/>
        <v>608.97520560425482</v>
      </c>
      <c r="BB11" s="9">
        <f t="shared" si="9"/>
        <v>491.04835372394598</v>
      </c>
      <c r="BC11" s="20"/>
      <c r="BD11" s="9">
        <v>528</v>
      </c>
      <c r="BF11" s="9">
        <v>497</v>
      </c>
      <c r="BH11" s="9">
        <v>154</v>
      </c>
      <c r="BI11" s="9">
        <f t="shared" si="10"/>
        <v>154</v>
      </c>
      <c r="BJ11" s="9">
        <f t="shared" si="11"/>
        <v>1036.3889737023537</v>
      </c>
      <c r="BK11" s="12">
        <f t="shared" si="1"/>
        <v>154</v>
      </c>
      <c r="BP11" s="9">
        <v>0</v>
      </c>
      <c r="BQ11" s="9">
        <f t="shared" si="12"/>
        <v>0</v>
      </c>
      <c r="BR11" s="12">
        <f t="shared" si="13"/>
        <v>1036.3889737023537</v>
      </c>
      <c r="BS11" s="23">
        <f t="shared" si="2"/>
        <v>0</v>
      </c>
      <c r="BU11" s="9">
        <v>195</v>
      </c>
      <c r="BW11" s="9">
        <v>21</v>
      </c>
      <c r="BX11" s="9">
        <v>97</v>
      </c>
      <c r="BY11" s="9">
        <v>94</v>
      </c>
      <c r="BZ11" s="9">
        <v>93</v>
      </c>
      <c r="CA11" s="9">
        <v>116</v>
      </c>
      <c r="CB11" s="9">
        <v>79</v>
      </c>
      <c r="CC11" s="9">
        <v>99</v>
      </c>
      <c r="CD11" s="9">
        <v>94</v>
      </c>
      <c r="CE11" s="9">
        <v>94</v>
      </c>
      <c r="CF11" s="9">
        <v>87</v>
      </c>
      <c r="CG11" s="9">
        <v>85</v>
      </c>
      <c r="CH11" s="9">
        <v>74</v>
      </c>
      <c r="CI11" s="9">
        <v>92</v>
      </c>
      <c r="CJ11" s="9">
        <v>72</v>
      </c>
      <c r="CK11" s="12">
        <f t="shared" si="14"/>
        <v>1127.5</v>
      </c>
      <c r="CL11" s="9">
        <f t="shared" si="15"/>
        <v>351.5</v>
      </c>
      <c r="CM11" s="9">
        <f t="shared" si="16"/>
        <v>323</v>
      </c>
      <c r="CN11" s="9">
        <f t="shared" si="17"/>
        <v>623.5</v>
      </c>
      <c r="CO11" s="9">
        <f t="shared" si="3"/>
        <v>504</v>
      </c>
      <c r="CQ11" s="9">
        <f t="shared" si="18"/>
        <v>672</v>
      </c>
      <c r="CR11" s="9">
        <f t="shared" si="19"/>
        <v>504</v>
      </c>
    </row>
    <row r="12" spans="1:96" ht="29.25">
      <c r="A12" t="str">
        <f t="shared" si="0"/>
        <v>041</v>
      </c>
      <c r="B12">
        <f t="shared" si="4"/>
        <v>41</v>
      </c>
      <c r="C12" s="15" t="s">
        <v>20</v>
      </c>
      <c r="D12" s="11"/>
      <c r="E12" s="9">
        <f>SUM(67.7940591504779*0.5)</f>
        <v>33.897029575238953</v>
      </c>
      <c r="F12" s="9">
        <v>63.118497109826599</v>
      </c>
      <c r="G12" s="9">
        <v>73.369942196531795</v>
      </c>
      <c r="H12" s="9">
        <v>72.450867052023099</v>
      </c>
      <c r="I12" s="9">
        <v>76.514450867052005</v>
      </c>
      <c r="J12" s="9">
        <v>75.404624277456605</v>
      </c>
      <c r="K12" s="9">
        <v>75.327059399809599</v>
      </c>
      <c r="L12" s="9">
        <v>65.265063876873597</v>
      </c>
      <c r="M12" s="9">
        <v>66.790229885057499</v>
      </c>
      <c r="N12" s="9">
        <v>78.28</v>
      </c>
      <c r="O12" s="9">
        <v>60.294285714285699</v>
      </c>
      <c r="P12" s="9">
        <v>75.282857142857097</v>
      </c>
      <c r="Q12" s="9">
        <v>50.354285714285702</v>
      </c>
      <c r="R12" s="9">
        <v>0</v>
      </c>
      <c r="S12" s="9">
        <v>0</v>
      </c>
      <c r="T12" s="9">
        <v>0</v>
      </c>
      <c r="U12" s="9">
        <v>0.776272727272727</v>
      </c>
      <c r="V12" s="9">
        <v>5.7178514285714304</v>
      </c>
      <c r="W12" s="9">
        <v>5.7800228571428596</v>
      </c>
      <c r="X12" s="9">
        <v>3.34998857142857</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f t="shared" si="5"/>
        <v>926.07199481549935</v>
      </c>
      <c r="AY12" s="9">
        <f t="shared" si="6"/>
        <v>254.97815273030147</v>
      </c>
      <c r="AZ12" s="9">
        <f t="shared" si="7"/>
        <v>293.82734236363626</v>
      </c>
      <c r="BA12" s="9">
        <f t="shared" si="8"/>
        <v>493.58659400183558</v>
      </c>
      <c r="BB12" s="9">
        <f t="shared" si="9"/>
        <v>432.48540081366394</v>
      </c>
      <c r="BC12" s="20"/>
      <c r="BD12" s="9">
        <v>488</v>
      </c>
      <c r="BF12" s="9">
        <v>495</v>
      </c>
      <c r="BH12" s="9">
        <v>139</v>
      </c>
      <c r="BI12" s="9">
        <f t="shared" si="10"/>
        <v>139</v>
      </c>
      <c r="BJ12" s="9">
        <f t="shared" si="11"/>
        <v>866.34919281129817</v>
      </c>
      <c r="BK12" s="12">
        <f t="shared" si="1"/>
        <v>139</v>
      </c>
      <c r="BP12" s="9" t="s">
        <v>240</v>
      </c>
      <c r="BQ12" s="9" t="str">
        <f t="shared" si="12"/>
        <v/>
      </c>
      <c r="BR12" s="12" t="str">
        <f t="shared" si="13"/>
        <v/>
      </c>
      <c r="BS12" s="23">
        <f t="shared" si="2"/>
        <v>77.811939343103845</v>
      </c>
      <c r="BU12" s="9">
        <v>0</v>
      </c>
      <c r="BW12" s="9">
        <v>25</v>
      </c>
      <c r="BX12" s="9">
        <v>74</v>
      </c>
      <c r="BY12" s="9">
        <v>76</v>
      </c>
      <c r="BZ12" s="9">
        <v>68</v>
      </c>
      <c r="CA12" s="9">
        <v>74</v>
      </c>
      <c r="CB12" s="9">
        <v>80</v>
      </c>
      <c r="CC12" s="9">
        <v>79</v>
      </c>
      <c r="CD12" s="9">
        <v>76</v>
      </c>
      <c r="CE12" s="9">
        <v>76</v>
      </c>
      <c r="CF12" s="9">
        <v>71</v>
      </c>
      <c r="CG12" s="9">
        <v>71</v>
      </c>
      <c r="CH12" s="9">
        <v>81</v>
      </c>
      <c r="CI12" s="9">
        <v>67</v>
      </c>
      <c r="CJ12" s="9">
        <v>84</v>
      </c>
      <c r="CK12" s="12">
        <f t="shared" si="14"/>
        <v>940</v>
      </c>
      <c r="CL12" s="9">
        <f t="shared" si="15"/>
        <v>255</v>
      </c>
      <c r="CM12" s="9">
        <f t="shared" si="16"/>
        <v>303</v>
      </c>
      <c r="CN12" s="9">
        <f t="shared" si="17"/>
        <v>490</v>
      </c>
      <c r="CO12" s="9">
        <f t="shared" si="3"/>
        <v>450</v>
      </c>
      <c r="CQ12" s="9">
        <f t="shared" si="18"/>
        <v>527</v>
      </c>
      <c r="CR12" s="9">
        <f t="shared" si="19"/>
        <v>450</v>
      </c>
    </row>
    <row r="13" spans="1:96" ht="43.5">
      <c r="A13" t="str">
        <f t="shared" si="0"/>
        <v>044</v>
      </c>
      <c r="B13">
        <f t="shared" si="4"/>
        <v>44</v>
      </c>
      <c r="C13" s="15" t="s">
        <v>21</v>
      </c>
      <c r="D13" s="11"/>
      <c r="E13" s="9">
        <f>SUM(27.6352941176471*0.5)</f>
        <v>13.81764705882355</v>
      </c>
      <c r="F13" s="9">
        <v>22.008823529411799</v>
      </c>
      <c r="G13" s="9">
        <v>31.461764705882398</v>
      </c>
      <c r="H13" s="9">
        <v>22.632352941176499</v>
      </c>
      <c r="I13" s="9">
        <v>18.8029411764706</v>
      </c>
      <c r="J13" s="9">
        <v>19.664705882352902</v>
      </c>
      <c r="K13" s="9">
        <v>27.779411764705898</v>
      </c>
      <c r="L13" s="9">
        <v>14.4029411764706</v>
      </c>
      <c r="M13" s="9">
        <v>32.344117647058802</v>
      </c>
      <c r="N13" s="9">
        <v>20.4411764705882</v>
      </c>
      <c r="O13" s="9">
        <v>27.15</v>
      </c>
      <c r="P13" s="9">
        <v>17.711764705882398</v>
      </c>
      <c r="Q13" s="9">
        <v>14.7911764705882</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f t="shared" si="5"/>
        <v>297.15926470588249</v>
      </c>
      <c r="AY13" s="9">
        <f t="shared" si="6"/>
        <v>94.416617647058956</v>
      </c>
      <c r="AZ13" s="9">
        <f t="shared" si="7"/>
        <v>84.098823529411732</v>
      </c>
      <c r="BA13" s="9">
        <f t="shared" si="8"/>
        <v>163.97602941176484</v>
      </c>
      <c r="BB13" s="9">
        <f t="shared" si="9"/>
        <v>133.18323529411762</v>
      </c>
      <c r="BC13" s="20"/>
      <c r="BD13" s="9">
        <v>254.4</v>
      </c>
      <c r="BF13" s="153">
        <v>151.78</v>
      </c>
      <c r="BH13" s="9">
        <v>76</v>
      </c>
      <c r="BI13" s="9">
        <f t="shared" si="10"/>
        <v>76</v>
      </c>
      <c r="BJ13" s="9">
        <f t="shared" si="11"/>
        <v>283.00882352941187</v>
      </c>
      <c r="BK13" s="12">
        <f t="shared" si="1"/>
        <v>76</v>
      </c>
      <c r="BP13" s="9">
        <v>0</v>
      </c>
      <c r="BQ13" s="9">
        <f t="shared" si="12"/>
        <v>0</v>
      </c>
      <c r="BR13" s="12">
        <f t="shared" si="13"/>
        <v>283.00882352941187</v>
      </c>
      <c r="BS13" s="23">
        <f t="shared" si="2"/>
        <v>0</v>
      </c>
      <c r="BU13" s="9">
        <v>0</v>
      </c>
      <c r="BW13" s="9">
        <v>18</v>
      </c>
      <c r="BX13" s="9">
        <v>25</v>
      </c>
      <c r="BY13" s="9">
        <v>24</v>
      </c>
      <c r="BZ13" s="9">
        <v>29</v>
      </c>
      <c r="CA13" s="9">
        <v>33</v>
      </c>
      <c r="CB13" s="9">
        <v>27</v>
      </c>
      <c r="CC13" s="9">
        <v>20</v>
      </c>
      <c r="CD13" s="9">
        <v>24</v>
      </c>
      <c r="CE13" s="9">
        <v>28</v>
      </c>
      <c r="CF13" s="9">
        <v>18</v>
      </c>
      <c r="CG13" s="9">
        <v>48</v>
      </c>
      <c r="CH13" s="9">
        <v>20</v>
      </c>
      <c r="CI13" s="9">
        <v>32</v>
      </c>
      <c r="CJ13" s="9">
        <v>25</v>
      </c>
      <c r="CK13" s="12">
        <f t="shared" si="14"/>
        <v>340.5</v>
      </c>
      <c r="CL13" s="9">
        <f t="shared" si="15"/>
        <v>98.5</v>
      </c>
      <c r="CM13" s="9">
        <f t="shared" si="16"/>
        <v>125</v>
      </c>
      <c r="CN13" s="9">
        <f t="shared" si="17"/>
        <v>169.5</v>
      </c>
      <c r="CO13" s="9">
        <f t="shared" si="3"/>
        <v>171</v>
      </c>
      <c r="CQ13" s="9">
        <f t="shared" si="18"/>
        <v>182</v>
      </c>
      <c r="CR13" s="9">
        <f t="shared" si="19"/>
        <v>171</v>
      </c>
    </row>
    <row r="14" spans="1:96" ht="29.25">
      <c r="A14" t="str">
        <f t="shared" si="0"/>
        <v>052</v>
      </c>
      <c r="B14">
        <f t="shared" si="4"/>
        <v>52</v>
      </c>
      <c r="C14" s="15" t="s">
        <v>22</v>
      </c>
      <c r="D14" s="11"/>
      <c r="E14" s="9">
        <f>SUM(113.541176470588*0.5)</f>
        <v>56.770588235293999</v>
      </c>
      <c r="F14" s="9">
        <v>111.304347826087</v>
      </c>
      <c r="G14" s="9">
        <v>130.213768115942</v>
      </c>
      <c r="H14" s="9">
        <v>123.52898550724601</v>
      </c>
      <c r="I14" s="9">
        <v>134.89130434782601</v>
      </c>
      <c r="J14" s="9">
        <v>133.14130434782601</v>
      </c>
      <c r="K14" s="9">
        <v>136.77536231884099</v>
      </c>
      <c r="L14" s="9">
        <v>122.380281690141</v>
      </c>
      <c r="M14" s="9">
        <v>140.58098591549299</v>
      </c>
      <c r="N14" s="9">
        <v>116.825</v>
      </c>
      <c r="O14" s="9">
        <v>136.78214285714299</v>
      </c>
      <c r="P14" s="9">
        <v>135.52121456263799</v>
      </c>
      <c r="Q14" s="9">
        <v>127.743691206617</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f t="shared" si="5"/>
        <v>1686.7819257776489</v>
      </c>
      <c r="AY14" s="9">
        <f t="shared" si="6"/>
        <v>442.90857416879749</v>
      </c>
      <c r="AZ14" s="9">
        <f t="shared" si="7"/>
        <v>542.71565105771788</v>
      </c>
      <c r="BA14" s="9">
        <f t="shared" si="8"/>
        <v>867.95694373401511</v>
      </c>
      <c r="BB14" s="9">
        <f t="shared" si="9"/>
        <v>818.82498204363355</v>
      </c>
      <c r="BC14" s="20"/>
      <c r="BD14" s="9">
        <v>649</v>
      </c>
      <c r="BF14" s="9">
        <v>606</v>
      </c>
      <c r="BH14" s="9">
        <v>183</v>
      </c>
      <c r="BI14" s="9">
        <f t="shared" si="10"/>
        <v>183</v>
      </c>
      <c r="BJ14" s="9">
        <f t="shared" si="11"/>
        <v>1606.4589769310942</v>
      </c>
      <c r="BK14" s="12">
        <f t="shared" si="1"/>
        <v>183</v>
      </c>
      <c r="BP14" s="9">
        <v>183</v>
      </c>
      <c r="BQ14" s="9">
        <f t="shared" si="12"/>
        <v>183</v>
      </c>
      <c r="BR14" s="12">
        <f t="shared" si="13"/>
        <v>1606.4589769310942</v>
      </c>
      <c r="BS14" s="23">
        <f t="shared" si="2"/>
        <v>183</v>
      </c>
      <c r="BU14" s="9">
        <v>92</v>
      </c>
      <c r="BW14" s="9">
        <v>16</v>
      </c>
      <c r="BX14" s="9">
        <v>113</v>
      </c>
      <c r="BY14" s="9">
        <v>128</v>
      </c>
      <c r="BZ14" s="9">
        <v>124</v>
      </c>
      <c r="CA14" s="9">
        <v>143</v>
      </c>
      <c r="CB14" s="9">
        <v>133</v>
      </c>
      <c r="CC14" s="9">
        <v>139</v>
      </c>
      <c r="CD14" s="9">
        <v>145</v>
      </c>
      <c r="CE14" s="9">
        <v>153</v>
      </c>
      <c r="CF14" s="9">
        <v>133</v>
      </c>
      <c r="CG14" s="9">
        <v>158</v>
      </c>
      <c r="CH14" s="9">
        <v>124</v>
      </c>
      <c r="CI14" s="9">
        <v>138</v>
      </c>
      <c r="CJ14" s="9">
        <v>131</v>
      </c>
      <c r="CK14" s="12">
        <f t="shared" si="14"/>
        <v>1705.5</v>
      </c>
      <c r="CL14" s="9">
        <f t="shared" si="15"/>
        <v>451.5</v>
      </c>
      <c r="CM14" s="9">
        <f t="shared" si="16"/>
        <v>551</v>
      </c>
      <c r="CN14" s="9">
        <f t="shared" si="17"/>
        <v>868.5</v>
      </c>
      <c r="CO14" s="9">
        <f t="shared" si="3"/>
        <v>837</v>
      </c>
      <c r="CQ14" s="9">
        <f t="shared" si="18"/>
        <v>925</v>
      </c>
      <c r="CR14" s="9">
        <f t="shared" si="19"/>
        <v>837</v>
      </c>
    </row>
    <row r="15" spans="1:96" ht="29.25">
      <c r="A15" t="str">
        <f t="shared" si="0"/>
        <v>055</v>
      </c>
      <c r="B15">
        <f t="shared" si="4"/>
        <v>55</v>
      </c>
      <c r="C15" s="15" t="s">
        <v>23</v>
      </c>
      <c r="D15" s="11"/>
      <c r="E15" s="9">
        <f>SUM(217.733694335289*0.5)</f>
        <v>108.86684716764449</v>
      </c>
      <c r="F15" s="9">
        <v>242.04703035156501</v>
      </c>
      <c r="G15" s="9">
        <v>262.22452500250199</v>
      </c>
      <c r="H15" s="9">
        <v>290.685797479249</v>
      </c>
      <c r="I15" s="9">
        <v>296.73587009900598</v>
      </c>
      <c r="J15" s="9">
        <v>283.56939092137497</v>
      </c>
      <c r="K15" s="9">
        <v>277.15002658710898</v>
      </c>
      <c r="L15" s="9">
        <v>306.38947804165599</v>
      </c>
      <c r="M15" s="9">
        <v>259.267441860465</v>
      </c>
      <c r="N15" s="9">
        <v>283.44797687861302</v>
      </c>
      <c r="O15" s="9">
        <v>277.58381502890199</v>
      </c>
      <c r="P15" s="9">
        <v>261.56647398843899</v>
      </c>
      <c r="Q15" s="9">
        <v>237.046242774566</v>
      </c>
      <c r="R15" s="9">
        <v>0</v>
      </c>
      <c r="S15" s="9">
        <v>2.7224979999999999</v>
      </c>
      <c r="T15" s="9">
        <v>3.9621801169590598</v>
      </c>
      <c r="U15" s="9">
        <v>12.228319619359301</v>
      </c>
      <c r="V15" s="9">
        <v>22.3914682086168</v>
      </c>
      <c r="W15" s="9">
        <v>33.049937309941498</v>
      </c>
      <c r="X15" s="9">
        <v>46.735936457097203</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19.776470588235298</v>
      </c>
      <c r="AS15" s="9">
        <v>13.588235294117601</v>
      </c>
      <c r="AT15" s="9">
        <v>10.988235294117599</v>
      </c>
      <c r="AU15" s="9">
        <v>2.94738431372549</v>
      </c>
      <c r="AV15" s="9">
        <v>7.4529058823529404</v>
      </c>
      <c r="AW15" s="9">
        <v>2.4646705882352902</v>
      </c>
      <c r="AX15" s="9">
        <f t="shared" si="5"/>
        <v>3743.1336157465425</v>
      </c>
      <c r="AY15" s="9">
        <f t="shared" si="6"/>
        <v>949.01541000100849</v>
      </c>
      <c r="AZ15" s="9">
        <f t="shared" si="7"/>
        <v>1257.7985346611645</v>
      </c>
      <c r="BA15" s="9">
        <f t="shared" si="8"/>
        <v>1849.3434619888731</v>
      </c>
      <c r="BB15" s="9">
        <f t="shared" si="9"/>
        <v>1893.790153757669</v>
      </c>
      <c r="BC15" s="20"/>
      <c r="BD15" s="9">
        <v>2158.1999999999998</v>
      </c>
      <c r="BF15" s="9">
        <v>2259</v>
      </c>
      <c r="BH15" s="9">
        <v>464</v>
      </c>
      <c r="BI15" s="9">
        <f t="shared" si="10"/>
        <v>464</v>
      </c>
      <c r="BJ15" s="9">
        <f t="shared" si="11"/>
        <v>3386.5809161810917</v>
      </c>
      <c r="BK15" s="12">
        <f t="shared" si="1"/>
        <v>464</v>
      </c>
      <c r="BP15" s="9">
        <v>515</v>
      </c>
      <c r="BQ15" s="9">
        <f t="shared" si="12"/>
        <v>515</v>
      </c>
      <c r="BR15" s="12">
        <f t="shared" si="13"/>
        <v>3386.5809161810917</v>
      </c>
      <c r="BS15" s="23">
        <f t="shared" si="2"/>
        <v>515</v>
      </c>
      <c r="BU15" s="9">
        <v>210</v>
      </c>
      <c r="BW15" s="9">
        <v>42</v>
      </c>
      <c r="BX15" s="9">
        <v>253</v>
      </c>
      <c r="BY15" s="9">
        <v>247</v>
      </c>
      <c r="BZ15" s="9">
        <v>249</v>
      </c>
      <c r="CA15" s="9">
        <v>267</v>
      </c>
      <c r="CB15" s="9">
        <v>290</v>
      </c>
      <c r="CC15" s="9">
        <v>323</v>
      </c>
      <c r="CD15" s="9">
        <v>282</v>
      </c>
      <c r="CE15" s="9">
        <v>296</v>
      </c>
      <c r="CF15" s="9">
        <v>325</v>
      </c>
      <c r="CG15" s="9">
        <v>329</v>
      </c>
      <c r="CH15" s="9">
        <v>304</v>
      </c>
      <c r="CI15" s="9">
        <v>308</v>
      </c>
      <c r="CJ15" s="9">
        <v>300</v>
      </c>
      <c r="CK15" s="12">
        <f t="shared" si="14"/>
        <v>3646.5</v>
      </c>
      <c r="CL15" s="9">
        <f t="shared" si="15"/>
        <v>889.5</v>
      </c>
      <c r="CM15" s="9">
        <f t="shared" si="16"/>
        <v>1241</v>
      </c>
      <c r="CN15" s="9">
        <f t="shared" si="17"/>
        <v>1784.5</v>
      </c>
      <c r="CO15" s="9">
        <f t="shared" ref="CO15:CO47" si="20">SUM(CE15:CJ15)</f>
        <v>1862</v>
      </c>
      <c r="CQ15" s="9">
        <f t="shared" si="18"/>
        <v>1911</v>
      </c>
      <c r="CR15" s="9">
        <f t="shared" si="19"/>
        <v>1862</v>
      </c>
    </row>
    <row r="16" spans="1:96" ht="29.25">
      <c r="A16" t="str">
        <f t="shared" si="0"/>
        <v>058</v>
      </c>
      <c r="B16">
        <f t="shared" si="4"/>
        <v>58</v>
      </c>
      <c r="C16" s="15" t="s">
        <v>24</v>
      </c>
      <c r="D16" s="11"/>
      <c r="E16" s="9">
        <f>SUM(44.7319157046327*0.5)</f>
        <v>22.365957852316349</v>
      </c>
      <c r="F16" s="9">
        <v>49.203125</v>
      </c>
      <c r="G16" s="9">
        <v>57.534374999999997</v>
      </c>
      <c r="H16" s="9">
        <v>53.743749999999999</v>
      </c>
      <c r="I16" s="9">
        <v>55.034374999999997</v>
      </c>
      <c r="J16" s="9">
        <v>52.643749999999997</v>
      </c>
      <c r="K16" s="9">
        <v>62.119496855345901</v>
      </c>
      <c r="L16" s="9">
        <v>59.119496855345901</v>
      </c>
      <c r="M16" s="9">
        <v>52.634094616844699</v>
      </c>
      <c r="N16" s="9">
        <v>50.159374999999997</v>
      </c>
      <c r="O16" s="9">
        <v>48.184375000000003</v>
      </c>
      <c r="P16" s="9">
        <v>50.621875000000003</v>
      </c>
      <c r="Q16" s="9">
        <v>44.271875000000001</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f t="shared" si="5"/>
        <v>690.51771723884565</v>
      </c>
      <c r="AY16" s="9">
        <f t="shared" si="6"/>
        <v>191.98956824493217</v>
      </c>
      <c r="AZ16" s="9">
        <f t="shared" si="7"/>
        <v>202.89937499999999</v>
      </c>
      <c r="BA16" s="9">
        <f t="shared" si="8"/>
        <v>370.2770711930454</v>
      </c>
      <c r="BB16" s="9">
        <f t="shared" si="9"/>
        <v>320.24064604580013</v>
      </c>
      <c r="BC16" s="20"/>
      <c r="BD16" s="9">
        <v>649</v>
      </c>
      <c r="BF16" s="153">
        <v>314.31</v>
      </c>
      <c r="BH16" s="9">
        <v>127</v>
      </c>
      <c r="BI16" s="9">
        <f t="shared" si="10"/>
        <v>127</v>
      </c>
      <c r="BJ16" s="9">
        <f t="shared" si="11"/>
        <v>657.63592117985297</v>
      </c>
      <c r="BK16" s="12">
        <f t="shared" si="1"/>
        <v>127</v>
      </c>
      <c r="BP16" s="9">
        <v>219</v>
      </c>
      <c r="BQ16" s="9">
        <f t="shared" si="12"/>
        <v>219</v>
      </c>
      <c r="BR16" s="12">
        <f t="shared" si="13"/>
        <v>657.63592117985297</v>
      </c>
      <c r="BS16" s="23">
        <f t="shared" si="2"/>
        <v>219</v>
      </c>
      <c r="BU16" s="9">
        <v>31</v>
      </c>
      <c r="BW16" s="9">
        <v>9</v>
      </c>
      <c r="BX16" s="9">
        <v>58</v>
      </c>
      <c r="BY16" s="9">
        <v>54</v>
      </c>
      <c r="BZ16" s="9">
        <v>53</v>
      </c>
      <c r="CA16" s="9">
        <v>59</v>
      </c>
      <c r="CB16" s="9">
        <v>58</v>
      </c>
      <c r="CC16" s="9">
        <v>57</v>
      </c>
      <c r="CD16" s="9">
        <v>57</v>
      </c>
      <c r="CE16" s="9">
        <v>65</v>
      </c>
      <c r="CF16" s="9">
        <v>61</v>
      </c>
      <c r="CG16" s="9">
        <v>56</v>
      </c>
      <c r="CH16" s="9">
        <v>53</v>
      </c>
      <c r="CI16" s="9">
        <v>51</v>
      </c>
      <c r="CJ16" s="9">
        <v>49</v>
      </c>
      <c r="CK16" s="12">
        <f t="shared" si="14"/>
        <v>702</v>
      </c>
      <c r="CL16" s="9">
        <f t="shared" si="15"/>
        <v>195</v>
      </c>
      <c r="CM16" s="9">
        <f t="shared" si="16"/>
        <v>209</v>
      </c>
      <c r="CN16" s="9">
        <f t="shared" si="17"/>
        <v>367</v>
      </c>
      <c r="CO16" s="9">
        <f t="shared" ref="CO16:CO25" si="21">MAX($D$181,(SUM(CE16:CJ16)))</f>
        <v>335</v>
      </c>
      <c r="CQ16" s="9">
        <f t="shared" si="18"/>
        <v>396</v>
      </c>
      <c r="CR16" s="9">
        <f t="shared" si="19"/>
        <v>335</v>
      </c>
    </row>
    <row r="17" spans="1:96" ht="29.25">
      <c r="A17" t="str">
        <f t="shared" si="0"/>
        <v>059</v>
      </c>
      <c r="B17">
        <f t="shared" si="4"/>
        <v>59</v>
      </c>
      <c r="C17" s="15" t="s">
        <v>25</v>
      </c>
      <c r="D17" s="11"/>
      <c r="E17" s="9">
        <f>SUM(51.8875219683656*0.5)</f>
        <v>25.943760984182799</v>
      </c>
      <c r="F17" s="9">
        <v>51.8506944444444</v>
      </c>
      <c r="G17" s="9">
        <v>72.4583333333333</v>
      </c>
      <c r="H17" s="9">
        <v>55.2916666666667</v>
      </c>
      <c r="I17" s="9">
        <v>56.7291666666667</v>
      </c>
      <c r="J17" s="9">
        <v>62.8506944444444</v>
      </c>
      <c r="K17" s="9">
        <v>63.2638888888889</v>
      </c>
      <c r="L17" s="9">
        <v>72.3854166666667</v>
      </c>
      <c r="M17" s="9">
        <v>49.1979166666667</v>
      </c>
      <c r="N17" s="9">
        <v>60.3819444444444</v>
      </c>
      <c r="O17" s="9">
        <v>69.829734897019407</v>
      </c>
      <c r="P17" s="9">
        <v>52.2013888888889</v>
      </c>
      <c r="Q17" s="9">
        <v>48.6423611111111</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f t="shared" si="5"/>
        <v>778.07831650859555</v>
      </c>
      <c r="AY17" s="9">
        <f t="shared" si="6"/>
        <v>215.82167820005859</v>
      </c>
      <c r="AZ17" s="9">
        <f t="shared" si="7"/>
        <v>242.60820080853702</v>
      </c>
      <c r="BA17" s="9">
        <f t="shared" si="8"/>
        <v>407.80761570005859</v>
      </c>
      <c r="BB17" s="9">
        <f t="shared" si="9"/>
        <v>370.27070080853707</v>
      </c>
      <c r="BC17" s="20"/>
      <c r="BD17" s="9">
        <v>371</v>
      </c>
      <c r="BF17" s="9">
        <v>397</v>
      </c>
      <c r="BH17" s="9">
        <v>58</v>
      </c>
      <c r="BI17" s="9">
        <f t="shared" si="10"/>
        <v>58</v>
      </c>
      <c r="BJ17" s="9">
        <f t="shared" si="11"/>
        <v>741.02696810342434</v>
      </c>
      <c r="BK17" s="12">
        <f t="shared" si="1"/>
        <v>58</v>
      </c>
      <c r="BP17" s="9">
        <v>0</v>
      </c>
      <c r="BQ17" s="9">
        <f t="shared" si="12"/>
        <v>0</v>
      </c>
      <c r="BR17" s="12">
        <f t="shared" si="13"/>
        <v>741.02696810342434</v>
      </c>
      <c r="BS17" s="23">
        <f t="shared" si="2"/>
        <v>0</v>
      </c>
      <c r="BU17" s="9">
        <v>0</v>
      </c>
      <c r="BW17" s="9">
        <v>9</v>
      </c>
      <c r="BX17" s="9">
        <v>64</v>
      </c>
      <c r="BY17" s="9">
        <v>60</v>
      </c>
      <c r="BZ17" s="9">
        <v>55</v>
      </c>
      <c r="CA17" s="9">
        <v>80</v>
      </c>
      <c r="CB17" s="9">
        <v>63</v>
      </c>
      <c r="CC17" s="9">
        <v>58</v>
      </c>
      <c r="CD17" s="9">
        <v>73</v>
      </c>
      <c r="CE17" s="9">
        <v>68</v>
      </c>
      <c r="CF17" s="9">
        <v>74</v>
      </c>
      <c r="CG17" s="9">
        <v>57</v>
      </c>
      <c r="CH17" s="9">
        <v>62</v>
      </c>
      <c r="CI17" s="9">
        <v>75</v>
      </c>
      <c r="CJ17" s="9">
        <v>54</v>
      </c>
      <c r="CK17" s="12">
        <f t="shared" si="14"/>
        <v>811</v>
      </c>
      <c r="CL17" s="9">
        <f t="shared" si="15"/>
        <v>227</v>
      </c>
      <c r="CM17" s="9">
        <f t="shared" si="16"/>
        <v>248</v>
      </c>
      <c r="CN17" s="9">
        <f t="shared" si="17"/>
        <v>421</v>
      </c>
      <c r="CO17" s="9">
        <f t="shared" si="21"/>
        <v>390</v>
      </c>
      <c r="CQ17" s="9">
        <f t="shared" si="18"/>
        <v>453</v>
      </c>
      <c r="CR17" s="9">
        <f t="shared" si="19"/>
        <v>390</v>
      </c>
    </row>
    <row r="18" spans="1:96" ht="29.25">
      <c r="A18" t="str">
        <f t="shared" si="0"/>
        <v>060</v>
      </c>
      <c r="B18">
        <f t="shared" si="4"/>
        <v>60</v>
      </c>
      <c r="C18" s="15" t="s">
        <v>26</v>
      </c>
      <c r="D18" s="11"/>
      <c r="E18" s="9">
        <f>SUM(155.371212121212*0.5)</f>
        <v>77.685606060606005</v>
      </c>
      <c r="F18" s="9">
        <v>170.60660660660699</v>
      </c>
      <c r="G18" s="9">
        <v>181.16216216216199</v>
      </c>
      <c r="H18" s="9">
        <v>173.80180180180199</v>
      </c>
      <c r="I18" s="9">
        <v>181.027027027027</v>
      </c>
      <c r="J18" s="9">
        <v>169.70238095238099</v>
      </c>
      <c r="K18" s="9">
        <v>162.30059523809501</v>
      </c>
      <c r="L18" s="9">
        <v>178.03903903903901</v>
      </c>
      <c r="M18" s="9">
        <v>172.18918918918899</v>
      </c>
      <c r="N18" s="9">
        <v>144.97597597597601</v>
      </c>
      <c r="O18" s="9">
        <v>173.41441441441401</v>
      </c>
      <c r="P18" s="9">
        <v>150.846846846847</v>
      </c>
      <c r="Q18" s="9">
        <v>146.07807807807799</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f t="shared" si="5"/>
        <v>2185.9212095618345</v>
      </c>
      <c r="AY18" s="9">
        <f t="shared" si="6"/>
        <v>633.4189854627358</v>
      </c>
      <c r="AZ18" s="9">
        <f t="shared" si="7"/>
        <v>646.08108108108081</v>
      </c>
      <c r="BA18" s="9">
        <f t="shared" si="8"/>
        <v>1172.1004888411139</v>
      </c>
      <c r="BB18" s="9">
        <f t="shared" si="9"/>
        <v>1013.8207207207203</v>
      </c>
      <c r="BC18" s="20"/>
      <c r="BD18" s="9">
        <v>956</v>
      </c>
      <c r="BF18" s="9">
        <v>1013</v>
      </c>
      <c r="BH18" s="9">
        <v>244</v>
      </c>
      <c r="BI18" s="9">
        <f t="shared" si="10"/>
        <v>244</v>
      </c>
      <c r="BJ18" s="9">
        <f t="shared" si="11"/>
        <v>2081.8297233922231</v>
      </c>
      <c r="BK18" s="12">
        <f t="shared" si="1"/>
        <v>244</v>
      </c>
      <c r="BP18" s="9">
        <v>109</v>
      </c>
      <c r="BQ18" s="9">
        <f t="shared" si="12"/>
        <v>109</v>
      </c>
      <c r="BR18" s="12">
        <f t="shared" si="13"/>
        <v>2081.8297233922231</v>
      </c>
      <c r="BS18" s="23">
        <f t="shared" si="2"/>
        <v>109</v>
      </c>
      <c r="BU18" s="9">
        <v>99</v>
      </c>
      <c r="BW18" s="9">
        <v>18</v>
      </c>
      <c r="BX18" s="9">
        <v>184</v>
      </c>
      <c r="BY18" s="9">
        <v>180</v>
      </c>
      <c r="BZ18" s="9">
        <v>183</v>
      </c>
      <c r="CA18" s="9">
        <v>197</v>
      </c>
      <c r="CB18" s="9">
        <v>189</v>
      </c>
      <c r="CC18" s="9">
        <v>195</v>
      </c>
      <c r="CD18" s="9">
        <v>184</v>
      </c>
      <c r="CE18" s="9">
        <v>173</v>
      </c>
      <c r="CF18" s="9">
        <v>191</v>
      </c>
      <c r="CG18" s="9">
        <v>179</v>
      </c>
      <c r="CH18" s="9">
        <v>152</v>
      </c>
      <c r="CI18" s="9">
        <v>174</v>
      </c>
      <c r="CJ18" s="9">
        <v>152</v>
      </c>
      <c r="CK18" s="12">
        <f t="shared" si="14"/>
        <v>2241</v>
      </c>
      <c r="CL18" s="9">
        <f t="shared" si="15"/>
        <v>652</v>
      </c>
      <c r="CM18" s="9">
        <f t="shared" si="16"/>
        <v>657</v>
      </c>
      <c r="CN18" s="9">
        <f t="shared" si="17"/>
        <v>1220</v>
      </c>
      <c r="CO18" s="9">
        <f t="shared" si="21"/>
        <v>1021</v>
      </c>
      <c r="CQ18" s="9">
        <f t="shared" si="18"/>
        <v>1312</v>
      </c>
      <c r="CR18" s="9">
        <f t="shared" si="19"/>
        <v>1021</v>
      </c>
    </row>
    <row r="19" spans="1:96" ht="29.25">
      <c r="A19" t="str">
        <f t="shared" si="0"/>
        <v>061</v>
      </c>
      <c r="B19">
        <f t="shared" si="4"/>
        <v>61</v>
      </c>
      <c r="C19" s="15" t="s">
        <v>27</v>
      </c>
      <c r="D19" s="11"/>
      <c r="E19" s="9">
        <f>SUM(217.542069889451*0.5)</f>
        <v>108.7710349447255</v>
      </c>
      <c r="F19" s="9">
        <v>202.20366342328199</v>
      </c>
      <c r="G19" s="9">
        <v>219.58396921043101</v>
      </c>
      <c r="H19" s="9">
        <v>237.79107402573001</v>
      </c>
      <c r="I19" s="9">
        <v>254.19376216708801</v>
      </c>
      <c r="J19" s="9">
        <v>274.673156784149</v>
      </c>
      <c r="K19" s="9">
        <v>257.79886370292297</v>
      </c>
      <c r="L19" s="9">
        <v>284.95867091994103</v>
      </c>
      <c r="M19" s="9">
        <v>236.12929712103201</v>
      </c>
      <c r="N19" s="9">
        <v>238.339732801259</v>
      </c>
      <c r="O19" s="9">
        <v>249.75890811840699</v>
      </c>
      <c r="P19" s="9">
        <v>228.43435158609299</v>
      </c>
      <c r="Q19" s="9">
        <v>198.685760337239</v>
      </c>
      <c r="R19" s="9">
        <v>0</v>
      </c>
      <c r="S19" s="9">
        <v>0</v>
      </c>
      <c r="T19" s="9">
        <v>0</v>
      </c>
      <c r="U19" s="9">
        <v>6.8174970760233897</v>
      </c>
      <c r="V19" s="9">
        <v>14.5973694149735</v>
      </c>
      <c r="W19" s="9">
        <v>12.8198947368421</v>
      </c>
      <c r="X19" s="9">
        <v>18.540421052631601</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f t="shared" si="5"/>
        <v>3196.302298793908</v>
      </c>
      <c r="AY19" s="9">
        <f t="shared" si="6"/>
        <v>806.76722868437696</v>
      </c>
      <c r="AZ19" s="9">
        <f t="shared" si="7"/>
        <v>1016.393631879642</v>
      </c>
      <c r="BA19" s="9">
        <f t="shared" si="8"/>
        <v>1632.7663004712449</v>
      </c>
      <c r="BB19" s="9">
        <f t="shared" si="9"/>
        <v>1563.5359983226635</v>
      </c>
      <c r="BC19" s="20"/>
      <c r="BD19" s="9">
        <v>1184</v>
      </c>
      <c r="BF19" s="9">
        <v>988</v>
      </c>
      <c r="BH19" s="9">
        <v>410</v>
      </c>
      <c r="BI19" s="9">
        <f t="shared" si="10"/>
        <v>410</v>
      </c>
      <c r="BJ19" s="9">
        <f t="shared" si="11"/>
        <v>2991.3222451422989</v>
      </c>
      <c r="BK19" s="12">
        <f t="shared" si="1"/>
        <v>410</v>
      </c>
      <c r="BP19" s="9">
        <v>773</v>
      </c>
      <c r="BQ19" s="9">
        <f t="shared" si="12"/>
        <v>773</v>
      </c>
      <c r="BR19" s="12">
        <f t="shared" si="13"/>
        <v>2991.3222451422989</v>
      </c>
      <c r="BS19" s="23">
        <f t="shared" si="2"/>
        <v>773</v>
      </c>
      <c r="BU19" s="9">
        <v>249</v>
      </c>
      <c r="BW19" s="9">
        <v>102</v>
      </c>
      <c r="BX19" s="9">
        <v>207</v>
      </c>
      <c r="BY19" s="9">
        <v>234</v>
      </c>
      <c r="BZ19" s="9">
        <v>224</v>
      </c>
      <c r="CA19" s="9">
        <v>230</v>
      </c>
      <c r="CB19" s="9">
        <v>252</v>
      </c>
      <c r="CC19" s="9">
        <v>269</v>
      </c>
      <c r="CD19" s="9">
        <v>285</v>
      </c>
      <c r="CE19" s="9">
        <v>292</v>
      </c>
      <c r="CF19" s="9">
        <v>304</v>
      </c>
      <c r="CG19" s="9">
        <v>260</v>
      </c>
      <c r="CH19" s="9">
        <v>264</v>
      </c>
      <c r="CI19" s="9">
        <v>277</v>
      </c>
      <c r="CJ19" s="9">
        <v>264</v>
      </c>
      <c r="CK19" s="12">
        <f t="shared" si="14"/>
        <v>3258.5</v>
      </c>
      <c r="CL19" s="9">
        <f t="shared" si="15"/>
        <v>791.5</v>
      </c>
      <c r="CM19" s="9">
        <f t="shared" si="16"/>
        <v>1065</v>
      </c>
      <c r="CN19" s="9">
        <f t="shared" si="17"/>
        <v>1597.5</v>
      </c>
      <c r="CO19" s="9">
        <f t="shared" si="21"/>
        <v>1661</v>
      </c>
      <c r="CQ19" s="9">
        <f t="shared" si="18"/>
        <v>1701</v>
      </c>
      <c r="CR19" s="9">
        <f t="shared" si="19"/>
        <v>1661</v>
      </c>
    </row>
    <row r="20" spans="1:96" ht="29.25">
      <c r="A20" t="str">
        <f t="shared" si="0"/>
        <v>071</v>
      </c>
      <c r="B20">
        <f t="shared" si="4"/>
        <v>71</v>
      </c>
      <c r="C20" s="15" t="s">
        <v>28</v>
      </c>
      <c r="D20" s="11"/>
      <c r="E20" s="9">
        <f>SUM(15.851724137931*0.5)</f>
        <v>7.9258620689655004</v>
      </c>
      <c r="F20" s="9">
        <v>15.972413793103399</v>
      </c>
      <c r="G20" s="9">
        <v>19.651724137931001</v>
      </c>
      <c r="H20" s="9">
        <v>16.9931034482759</v>
      </c>
      <c r="I20" s="9">
        <v>17.172413793103399</v>
      </c>
      <c r="J20" s="9">
        <v>21.275862068965498</v>
      </c>
      <c r="K20" s="9">
        <v>19.7655172413793</v>
      </c>
      <c r="L20" s="9">
        <v>16.3379310344828</v>
      </c>
      <c r="M20" s="9">
        <v>16.7655172413793</v>
      </c>
      <c r="N20" s="9">
        <v>20.782758620689702</v>
      </c>
      <c r="O20" s="9">
        <v>18.8310344827586</v>
      </c>
      <c r="P20" s="9">
        <v>10.075862068965501</v>
      </c>
      <c r="Q20" s="9">
        <v>21.8</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f t="shared" si="5"/>
        <v>234.51749999999996</v>
      </c>
      <c r="AY20" s="9">
        <f t="shared" si="6"/>
        <v>63.570258620689593</v>
      </c>
      <c r="AZ20" s="9">
        <f t="shared" si="7"/>
        <v>75.064137931034494</v>
      </c>
      <c r="BA20" s="9">
        <f t="shared" si="8"/>
        <v>124.6947413793102</v>
      </c>
      <c r="BB20" s="9">
        <f t="shared" si="9"/>
        <v>109.8227586206897</v>
      </c>
      <c r="BC20" s="20"/>
      <c r="BD20" s="9">
        <v>127</v>
      </c>
      <c r="BF20" s="9">
        <v>107</v>
      </c>
      <c r="BH20" s="9">
        <v>32</v>
      </c>
      <c r="BI20" s="9">
        <f t="shared" si="10"/>
        <v>32</v>
      </c>
      <c r="BJ20" s="9">
        <f t="shared" si="11"/>
        <v>223.34999999999994</v>
      </c>
      <c r="BK20" s="12">
        <f t="shared" si="1"/>
        <v>32</v>
      </c>
      <c r="BP20" s="9">
        <v>0</v>
      </c>
      <c r="BQ20" s="9">
        <f t="shared" si="12"/>
        <v>0</v>
      </c>
      <c r="BR20" s="12">
        <f t="shared" si="13"/>
        <v>223.34999999999994</v>
      </c>
      <c r="BS20" s="23">
        <f t="shared" si="2"/>
        <v>0</v>
      </c>
      <c r="BU20" s="9">
        <v>4</v>
      </c>
      <c r="BW20" s="9">
        <v>18</v>
      </c>
      <c r="BX20" s="9">
        <v>16</v>
      </c>
      <c r="BY20" s="9">
        <v>18</v>
      </c>
      <c r="BZ20" s="9">
        <v>18</v>
      </c>
      <c r="CA20" s="9">
        <v>24</v>
      </c>
      <c r="CB20" s="9">
        <v>19</v>
      </c>
      <c r="CC20" s="9">
        <v>21</v>
      </c>
      <c r="CD20" s="9">
        <v>24</v>
      </c>
      <c r="CE20" s="9">
        <v>23</v>
      </c>
      <c r="CF20" s="9">
        <v>16</v>
      </c>
      <c r="CG20" s="9">
        <v>18</v>
      </c>
      <c r="CH20" s="9">
        <v>19</v>
      </c>
      <c r="CI20" s="9">
        <v>21</v>
      </c>
      <c r="CJ20" s="9">
        <v>10</v>
      </c>
      <c r="CK20" s="12">
        <f t="shared" si="14"/>
        <v>239</v>
      </c>
      <c r="CL20" s="9">
        <f t="shared" si="15"/>
        <v>68</v>
      </c>
      <c r="CM20" s="9">
        <f t="shared" si="16"/>
        <v>68</v>
      </c>
      <c r="CN20" s="9">
        <f t="shared" si="17"/>
        <v>132</v>
      </c>
      <c r="CO20" s="9">
        <f t="shared" si="21"/>
        <v>107</v>
      </c>
      <c r="CQ20" s="9">
        <f t="shared" si="18"/>
        <v>140</v>
      </c>
      <c r="CR20" s="9">
        <f t="shared" si="19"/>
        <v>107</v>
      </c>
    </row>
    <row r="21" spans="1:96" ht="29.25">
      <c r="A21" t="str">
        <f t="shared" si="0"/>
        <v>072</v>
      </c>
      <c r="B21">
        <f t="shared" si="4"/>
        <v>72</v>
      </c>
      <c r="C21" s="15" t="s">
        <v>29</v>
      </c>
      <c r="D21" s="11"/>
      <c r="E21" s="9">
        <f>SUM(17.1142857142857*0.5)</f>
        <v>8.5571428571428498</v>
      </c>
      <c r="F21" s="9">
        <v>14.521472392638</v>
      </c>
      <c r="G21" s="9">
        <v>20.073619631901799</v>
      </c>
      <c r="H21" s="9">
        <v>23.6441717791411</v>
      </c>
      <c r="I21" s="9">
        <v>22.604294478527599</v>
      </c>
      <c r="J21" s="9">
        <v>26.276073619631902</v>
      </c>
      <c r="K21" s="9">
        <v>25.978527607362</v>
      </c>
      <c r="L21" s="9">
        <v>23.9018404907975</v>
      </c>
      <c r="M21" s="9">
        <v>28.450920245398802</v>
      </c>
      <c r="N21" s="9">
        <v>33.0306748466258</v>
      </c>
      <c r="O21" s="9">
        <v>30.009202453987701</v>
      </c>
      <c r="P21" s="9">
        <v>28.684049079754601</v>
      </c>
      <c r="Q21" s="9">
        <v>24.3558282208589</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f t="shared" si="5"/>
        <v>325.59220858895696</v>
      </c>
      <c r="AY21" s="9">
        <f t="shared" si="6"/>
        <v>70.136226993864938</v>
      </c>
      <c r="AZ21" s="9">
        <f t="shared" si="7"/>
        <v>121.88374233128835</v>
      </c>
      <c r="BA21" s="9">
        <f t="shared" si="8"/>
        <v>148.73806748466254</v>
      </c>
      <c r="BB21" s="9">
        <f t="shared" si="9"/>
        <v>176.85414110429451</v>
      </c>
      <c r="BC21" s="20"/>
      <c r="BD21" s="9">
        <v>131</v>
      </c>
      <c r="BF21" s="9">
        <v>127</v>
      </c>
      <c r="BH21" s="9">
        <v>45</v>
      </c>
      <c r="BI21" s="9">
        <f t="shared" si="10"/>
        <v>45</v>
      </c>
      <c r="BJ21" s="9">
        <f t="shared" si="11"/>
        <v>310.08781770376851</v>
      </c>
      <c r="BK21" s="12">
        <f t="shared" si="1"/>
        <v>45</v>
      </c>
      <c r="BP21" s="9">
        <v>0</v>
      </c>
      <c r="BQ21" s="9">
        <f t="shared" si="12"/>
        <v>0</v>
      </c>
      <c r="BR21" s="12">
        <f t="shared" si="13"/>
        <v>310.08781770376851</v>
      </c>
      <c r="BS21" s="23">
        <f t="shared" si="2"/>
        <v>0</v>
      </c>
      <c r="BU21" s="9">
        <v>6</v>
      </c>
      <c r="BW21" s="9">
        <v>5</v>
      </c>
      <c r="BX21" s="9">
        <v>19</v>
      </c>
      <c r="BY21" s="9">
        <v>21</v>
      </c>
      <c r="BZ21" s="9">
        <v>14</v>
      </c>
      <c r="CA21" s="9">
        <v>23</v>
      </c>
      <c r="CB21" s="9">
        <v>23</v>
      </c>
      <c r="CC21" s="9">
        <v>22</v>
      </c>
      <c r="CD21" s="9">
        <v>28</v>
      </c>
      <c r="CE21" s="9">
        <v>26</v>
      </c>
      <c r="CF21" s="9">
        <v>28</v>
      </c>
      <c r="CG21" s="9">
        <v>35</v>
      </c>
      <c r="CH21" s="9">
        <v>33</v>
      </c>
      <c r="CI21" s="9">
        <v>33</v>
      </c>
      <c r="CJ21" s="9">
        <v>32</v>
      </c>
      <c r="CK21" s="12">
        <f t="shared" si="14"/>
        <v>327.5</v>
      </c>
      <c r="CL21" s="9">
        <f t="shared" si="15"/>
        <v>67.5</v>
      </c>
      <c r="CM21" s="9">
        <f t="shared" si="16"/>
        <v>133</v>
      </c>
      <c r="CN21" s="9">
        <f t="shared" si="17"/>
        <v>140.5</v>
      </c>
      <c r="CO21" s="9">
        <f t="shared" si="21"/>
        <v>187</v>
      </c>
      <c r="CQ21" s="9">
        <f t="shared" si="18"/>
        <v>150</v>
      </c>
      <c r="CR21" s="9">
        <f t="shared" si="19"/>
        <v>187</v>
      </c>
    </row>
    <row r="22" spans="1:96" ht="29.25">
      <c r="A22" t="str">
        <f t="shared" si="0"/>
        <v>073</v>
      </c>
      <c r="B22">
        <f t="shared" si="4"/>
        <v>73</v>
      </c>
      <c r="C22" s="15" t="s">
        <v>30</v>
      </c>
      <c r="D22" s="11"/>
      <c r="E22" s="9">
        <f>SUM(10.151724137931*0.5)</f>
        <v>5.0758620689654999</v>
      </c>
      <c r="F22" s="9">
        <v>14.2241379310345</v>
      </c>
      <c r="G22" s="9">
        <v>16.3758620689655</v>
      </c>
      <c r="H22" s="9">
        <v>14.148275862068999</v>
      </c>
      <c r="I22" s="9">
        <v>16.534482758620701</v>
      </c>
      <c r="J22" s="9">
        <v>12.9862068965517</v>
      </c>
      <c r="K22" s="9">
        <v>17.475862068965501</v>
      </c>
      <c r="L22" s="9">
        <v>19.3172413793103</v>
      </c>
      <c r="M22" s="9">
        <v>18.968965517241401</v>
      </c>
      <c r="N22" s="9">
        <v>17.924137931034501</v>
      </c>
      <c r="O22" s="9">
        <v>17.1241379310345</v>
      </c>
      <c r="P22" s="9">
        <v>21.8758620689655</v>
      </c>
      <c r="Q22" s="9">
        <v>11.6758620689655</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f t="shared" si="5"/>
        <v>213.89224137931032</v>
      </c>
      <c r="AY22" s="9">
        <f t="shared" si="6"/>
        <v>52.31534482758623</v>
      </c>
      <c r="AZ22" s="9">
        <f t="shared" si="7"/>
        <v>72.030000000000015</v>
      </c>
      <c r="BA22" s="9">
        <f t="shared" si="8"/>
        <v>101.66172413793102</v>
      </c>
      <c r="BB22" s="9">
        <f t="shared" si="9"/>
        <v>112.2305172413793</v>
      </c>
      <c r="BC22" s="20"/>
      <c r="BD22" s="9">
        <v>111</v>
      </c>
      <c r="BF22" s="9">
        <v>95</v>
      </c>
      <c r="BH22" s="9">
        <v>35</v>
      </c>
      <c r="BI22" s="9">
        <f t="shared" si="10"/>
        <v>35</v>
      </c>
      <c r="BJ22" s="9">
        <f t="shared" si="11"/>
        <v>203.7068965517241</v>
      </c>
      <c r="BK22" s="12">
        <f t="shared" si="1"/>
        <v>35</v>
      </c>
      <c r="BP22" s="9" t="s">
        <v>240</v>
      </c>
      <c r="BQ22" s="9" t="str">
        <f t="shared" si="12"/>
        <v/>
      </c>
      <c r="BR22" s="12" t="str">
        <f t="shared" si="13"/>
        <v/>
      </c>
      <c r="BS22" s="23">
        <f t="shared" si="2"/>
        <v>18.296119866885128</v>
      </c>
      <c r="BU22" s="9">
        <v>0</v>
      </c>
      <c r="BW22" s="9">
        <v>13</v>
      </c>
      <c r="BX22" s="9">
        <v>20</v>
      </c>
      <c r="BY22" s="9">
        <v>10</v>
      </c>
      <c r="BZ22" s="9">
        <v>15</v>
      </c>
      <c r="CA22" s="9">
        <v>20</v>
      </c>
      <c r="CB22" s="9">
        <v>16</v>
      </c>
      <c r="CC22" s="9">
        <v>17</v>
      </c>
      <c r="CD22" s="9">
        <v>17</v>
      </c>
      <c r="CE22" s="9">
        <v>20</v>
      </c>
      <c r="CF22" s="9">
        <v>19</v>
      </c>
      <c r="CG22" s="9">
        <v>19</v>
      </c>
      <c r="CH22" s="9">
        <v>22</v>
      </c>
      <c r="CI22" s="9">
        <v>14</v>
      </c>
      <c r="CJ22" s="9">
        <v>21</v>
      </c>
      <c r="CK22" s="12">
        <f t="shared" si="14"/>
        <v>220</v>
      </c>
      <c r="CL22" s="9">
        <f t="shared" si="15"/>
        <v>55</v>
      </c>
      <c r="CM22" s="9">
        <f t="shared" si="16"/>
        <v>76</v>
      </c>
      <c r="CN22" s="9">
        <f t="shared" si="17"/>
        <v>105</v>
      </c>
      <c r="CO22" s="9">
        <f t="shared" si="21"/>
        <v>115</v>
      </c>
      <c r="CQ22" s="9">
        <f t="shared" si="18"/>
        <v>115</v>
      </c>
      <c r="CR22" s="9">
        <f t="shared" si="19"/>
        <v>115</v>
      </c>
    </row>
    <row r="23" spans="1:96" ht="29.25">
      <c r="A23" t="str">
        <f t="shared" si="0"/>
        <v>083</v>
      </c>
      <c r="B23">
        <f t="shared" si="4"/>
        <v>83</v>
      </c>
      <c r="C23" s="15" t="s">
        <v>31</v>
      </c>
      <c r="D23" s="11"/>
      <c r="E23" s="9">
        <f>SUM(56.8266753564685*0.5)</f>
        <v>28.413337678234249</v>
      </c>
      <c r="F23" s="9">
        <v>77.934578977772006</v>
      </c>
      <c r="G23" s="9">
        <v>74.896053698204497</v>
      </c>
      <c r="H23" s="9">
        <v>95.871509686217607</v>
      </c>
      <c r="I23" s="9">
        <v>74.387866583835006</v>
      </c>
      <c r="J23" s="9">
        <v>78.850359262730393</v>
      </c>
      <c r="K23" s="9">
        <v>80.763810194928197</v>
      </c>
      <c r="L23" s="9">
        <v>67.023809523809504</v>
      </c>
      <c r="M23" s="9">
        <v>75.693452380952394</v>
      </c>
      <c r="N23" s="9">
        <v>64.284023668639094</v>
      </c>
      <c r="O23" s="9">
        <v>80.118343195266306</v>
      </c>
      <c r="P23" s="9">
        <v>73.215976331360906</v>
      </c>
      <c r="Q23" s="9">
        <v>57.017751479289899</v>
      </c>
      <c r="R23" s="9">
        <v>0</v>
      </c>
      <c r="S23" s="9">
        <v>0</v>
      </c>
      <c r="T23" s="9">
        <v>0</v>
      </c>
      <c r="U23" s="9">
        <v>0.57043478260869596</v>
      </c>
      <c r="V23" s="9">
        <v>1.4672380952380999</v>
      </c>
      <c r="W23" s="9">
        <v>4.6220238095238102</v>
      </c>
      <c r="X23" s="9">
        <v>3.7905952380952401</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2.1666666666666701</v>
      </c>
      <c r="AU23" s="9">
        <v>3.4666666666666699</v>
      </c>
      <c r="AV23" s="9">
        <v>3.0333333333333301</v>
      </c>
      <c r="AW23" s="9">
        <v>0.43333333333333302</v>
      </c>
      <c r="AX23" s="9">
        <f t="shared" si="5"/>
        <v>995.42222281604131</v>
      </c>
      <c r="AY23" s="9">
        <f t="shared" si="6"/>
        <v>290.97125404244974</v>
      </c>
      <c r="AZ23" s="9">
        <f t="shared" si="7"/>
        <v>308.89570593002315</v>
      </c>
      <c r="BA23" s="9">
        <f t="shared" si="8"/>
        <v>536.67339188601807</v>
      </c>
      <c r="BB23" s="9">
        <f t="shared" si="9"/>
        <v>458.74883093002319</v>
      </c>
      <c r="BC23" s="20"/>
      <c r="BD23" s="9">
        <v>538</v>
      </c>
      <c r="BF23" s="9">
        <v>509</v>
      </c>
      <c r="BH23" s="9">
        <v>160</v>
      </c>
      <c r="BI23" s="9">
        <f t="shared" si="10"/>
        <v>160</v>
      </c>
      <c r="BJ23" s="9">
        <f t="shared" si="11"/>
        <v>928.47087266124015</v>
      </c>
      <c r="BK23" s="12">
        <f t="shared" si="1"/>
        <v>160</v>
      </c>
      <c r="BP23" s="9" t="s">
        <v>240</v>
      </c>
      <c r="BQ23" s="9" t="str">
        <f t="shared" si="12"/>
        <v/>
      </c>
      <c r="BR23" s="12" t="str">
        <f t="shared" si="13"/>
        <v/>
      </c>
      <c r="BS23" s="23">
        <f t="shared" si="2"/>
        <v>83.391454421417393</v>
      </c>
      <c r="BU23" s="9">
        <v>49</v>
      </c>
      <c r="BW23" s="9">
        <v>12</v>
      </c>
      <c r="BX23" s="9">
        <v>56</v>
      </c>
      <c r="BY23" s="9">
        <v>71</v>
      </c>
      <c r="BZ23" s="9">
        <v>75</v>
      </c>
      <c r="CA23" s="9">
        <v>78</v>
      </c>
      <c r="CB23" s="9">
        <v>95</v>
      </c>
      <c r="CC23" s="9">
        <v>72</v>
      </c>
      <c r="CD23" s="9">
        <v>79</v>
      </c>
      <c r="CE23" s="9">
        <v>76</v>
      </c>
      <c r="CF23" s="9">
        <v>71</v>
      </c>
      <c r="CG23" s="9">
        <v>79</v>
      </c>
      <c r="CH23" s="9">
        <v>63</v>
      </c>
      <c r="CI23" s="9">
        <v>81</v>
      </c>
      <c r="CJ23" s="9">
        <v>71</v>
      </c>
      <c r="CK23" s="12">
        <f t="shared" si="14"/>
        <v>939</v>
      </c>
      <c r="CL23" s="9">
        <f t="shared" si="15"/>
        <v>252</v>
      </c>
      <c r="CM23" s="9">
        <f t="shared" si="16"/>
        <v>294</v>
      </c>
      <c r="CN23" s="9">
        <f t="shared" si="17"/>
        <v>498</v>
      </c>
      <c r="CO23" s="9">
        <f t="shared" si="21"/>
        <v>441</v>
      </c>
      <c r="CQ23" s="9">
        <f t="shared" si="18"/>
        <v>526</v>
      </c>
      <c r="CR23" s="9">
        <f t="shared" si="19"/>
        <v>441</v>
      </c>
    </row>
    <row r="24" spans="1:96" ht="29.25">
      <c r="A24" t="str">
        <f t="shared" si="0"/>
        <v>084</v>
      </c>
      <c r="B24">
        <f t="shared" si="4"/>
        <v>84</v>
      </c>
      <c r="C24" s="15" t="s">
        <v>32</v>
      </c>
      <c r="D24" s="11"/>
      <c r="E24" s="9">
        <f>SUM(214.803571428571*0.5)</f>
        <v>107.4017857142855</v>
      </c>
      <c r="F24" s="9">
        <v>244.05059523809501</v>
      </c>
      <c r="G24" s="9">
        <v>256.29761904761898</v>
      </c>
      <c r="H24" s="9">
        <v>286.30059523809501</v>
      </c>
      <c r="I24" s="9">
        <v>282.80357142857099</v>
      </c>
      <c r="J24" s="9">
        <v>277.88095238095201</v>
      </c>
      <c r="K24" s="9">
        <v>245.92857142857099</v>
      </c>
      <c r="L24" s="9">
        <v>254.51039026801999</v>
      </c>
      <c r="M24" s="9">
        <v>229.856441462253</v>
      </c>
      <c r="N24" s="9">
        <v>280.61011904761898</v>
      </c>
      <c r="O24" s="9">
        <v>262.205357142857</v>
      </c>
      <c r="P24" s="9">
        <v>219.21428571428601</v>
      </c>
      <c r="Q24" s="9">
        <v>223.29761904761901</v>
      </c>
      <c r="R24" s="9">
        <v>0</v>
      </c>
      <c r="S24" s="9">
        <v>0</v>
      </c>
      <c r="T24" s="9">
        <v>0</v>
      </c>
      <c r="U24" s="9">
        <v>13.6321714285714</v>
      </c>
      <c r="V24" s="9">
        <v>16.327702899597998</v>
      </c>
      <c r="W24" s="9">
        <v>27.015502790500101</v>
      </c>
      <c r="X24" s="9">
        <v>17.093440476190501</v>
      </c>
      <c r="Y24" s="9">
        <v>0</v>
      </c>
      <c r="Z24" s="9">
        <v>0</v>
      </c>
      <c r="AA24" s="9">
        <v>0</v>
      </c>
      <c r="AB24" s="9">
        <v>0.35</v>
      </c>
      <c r="AC24" s="9">
        <v>0.75757575757575801</v>
      </c>
      <c r="AD24" s="9">
        <v>0.73809523809523803</v>
      </c>
      <c r="AE24" s="9">
        <v>0.89805825242718496</v>
      </c>
      <c r="AF24" s="9">
        <v>0.90804597701149403</v>
      </c>
      <c r="AG24" s="9">
        <v>1</v>
      </c>
      <c r="AH24" s="9">
        <v>0</v>
      </c>
      <c r="AI24" s="9">
        <v>0</v>
      </c>
      <c r="AJ24" s="9">
        <v>0</v>
      </c>
      <c r="AK24" s="9">
        <v>0.77142857142857102</v>
      </c>
      <c r="AL24" s="9">
        <v>0.71428571428571397</v>
      </c>
      <c r="AM24" s="9">
        <v>0</v>
      </c>
      <c r="AN24" s="9">
        <v>1.02857142857143</v>
      </c>
      <c r="AO24" s="9">
        <v>0.97142857142857097</v>
      </c>
      <c r="AP24" s="9">
        <v>0.371428571428571</v>
      </c>
      <c r="AQ24" s="9">
        <v>0</v>
      </c>
      <c r="AR24" s="9">
        <v>3.9411764705882399</v>
      </c>
      <c r="AS24" s="9">
        <v>1.03137254901961</v>
      </c>
      <c r="AT24" s="9">
        <v>0</v>
      </c>
      <c r="AU24" s="9">
        <v>2.2019607843137301</v>
      </c>
      <c r="AV24" s="9">
        <v>4.0941176470588196</v>
      </c>
      <c r="AW24" s="9">
        <v>4.2725490196078404</v>
      </c>
      <c r="AX24" s="9">
        <f t="shared" si="5"/>
        <v>3431.9006560718713</v>
      </c>
      <c r="AY24" s="9">
        <f t="shared" si="6"/>
        <v>938.75312499999927</v>
      </c>
      <c r="AZ24" s="9">
        <f t="shared" si="7"/>
        <v>1129.674476739043</v>
      </c>
      <c r="BA24" s="9">
        <f t="shared" si="8"/>
        <v>1785.696874999998</v>
      </c>
      <c r="BB24" s="9">
        <f t="shared" si="9"/>
        <v>1646.2037810718725</v>
      </c>
      <c r="BC24" s="20"/>
      <c r="BD24" s="9">
        <v>1400</v>
      </c>
      <c r="BF24" s="9">
        <v>1272</v>
      </c>
      <c r="BH24" s="9">
        <v>460</v>
      </c>
      <c r="BI24" s="9">
        <f t="shared" si="10"/>
        <v>460</v>
      </c>
      <c r="BJ24" s="9">
        <f t="shared" si="11"/>
        <v>3170.357903158842</v>
      </c>
      <c r="BK24" s="12">
        <f t="shared" si="1"/>
        <v>460</v>
      </c>
      <c r="BP24" s="9">
        <v>53</v>
      </c>
      <c r="BQ24" s="9">
        <f t="shared" si="12"/>
        <v>53</v>
      </c>
      <c r="BR24" s="12">
        <f t="shared" si="13"/>
        <v>3170.357903158842</v>
      </c>
      <c r="BS24" s="23">
        <f t="shared" si="2"/>
        <v>53</v>
      </c>
      <c r="BU24" s="9">
        <v>0</v>
      </c>
      <c r="BW24" s="9">
        <v>42</v>
      </c>
      <c r="BX24" s="9">
        <v>254</v>
      </c>
      <c r="BY24" s="9">
        <v>265</v>
      </c>
      <c r="BZ24" s="9">
        <v>291</v>
      </c>
      <c r="CA24" s="9">
        <v>299</v>
      </c>
      <c r="CB24" s="9">
        <v>321</v>
      </c>
      <c r="CC24" s="9">
        <v>334</v>
      </c>
      <c r="CD24" s="9">
        <v>291</v>
      </c>
      <c r="CE24" s="9">
        <v>276</v>
      </c>
      <c r="CF24" s="9">
        <v>285</v>
      </c>
      <c r="CG24" s="9">
        <v>282</v>
      </c>
      <c r="CH24" s="9">
        <v>319</v>
      </c>
      <c r="CI24" s="9">
        <v>306</v>
      </c>
      <c r="CJ24" s="9">
        <v>276</v>
      </c>
      <c r="CK24" s="12">
        <f t="shared" si="14"/>
        <v>3672</v>
      </c>
      <c r="CL24" s="9">
        <f t="shared" si="15"/>
        <v>982</v>
      </c>
      <c r="CM24" s="9">
        <f t="shared" si="16"/>
        <v>1183</v>
      </c>
      <c r="CN24" s="9">
        <f t="shared" si="17"/>
        <v>1928</v>
      </c>
      <c r="CO24" s="9">
        <f t="shared" si="21"/>
        <v>1744</v>
      </c>
      <c r="CQ24" s="9">
        <f t="shared" si="18"/>
        <v>2055</v>
      </c>
      <c r="CR24" s="9">
        <f t="shared" si="19"/>
        <v>1744</v>
      </c>
    </row>
    <row r="25" spans="1:96" ht="29.25">
      <c r="A25" t="str">
        <f t="shared" si="0"/>
        <v>091</v>
      </c>
      <c r="B25">
        <f t="shared" si="4"/>
        <v>91</v>
      </c>
      <c r="C25" s="15" t="s">
        <v>33</v>
      </c>
      <c r="D25" s="11"/>
      <c r="E25" s="9">
        <f>SUM(680.709219858156*0.5)</f>
        <v>340.35460992907798</v>
      </c>
      <c r="F25" s="9">
        <v>683.54310344827604</v>
      </c>
      <c r="G25" s="9">
        <v>711.31609195402302</v>
      </c>
      <c r="H25" s="9">
        <v>726.71551724137896</v>
      </c>
      <c r="I25" s="9">
        <v>756.63505747126396</v>
      </c>
      <c r="J25" s="9">
        <v>766.47988505747105</v>
      </c>
      <c r="K25" s="9">
        <v>692.54597701149396</v>
      </c>
      <c r="L25" s="9">
        <v>795.99401854205701</v>
      </c>
      <c r="M25" s="9">
        <v>715.06234382252501</v>
      </c>
      <c r="N25" s="9">
        <v>781.81520757731505</v>
      </c>
      <c r="O25" s="9">
        <v>719.97976878612701</v>
      </c>
      <c r="P25" s="9">
        <v>662.02601156069397</v>
      </c>
      <c r="Q25" s="9">
        <v>542.36280022566098</v>
      </c>
      <c r="R25" s="9">
        <v>0</v>
      </c>
      <c r="S25" s="9">
        <v>0</v>
      </c>
      <c r="T25" s="9">
        <v>0</v>
      </c>
      <c r="U25" s="9">
        <v>4.7144335632183898</v>
      </c>
      <c r="V25" s="9">
        <v>19.2909287356322</v>
      </c>
      <c r="W25" s="9">
        <v>37.938721926183298</v>
      </c>
      <c r="X25" s="9">
        <v>58.140105089829802</v>
      </c>
      <c r="Y25" s="9">
        <v>0.33333333333333298</v>
      </c>
      <c r="Z25" s="9">
        <v>0</v>
      </c>
      <c r="AA25" s="9">
        <v>0.64</v>
      </c>
      <c r="AB25" s="9">
        <v>0.84126984126984095</v>
      </c>
      <c r="AC25" s="9">
        <v>0.86666666666666703</v>
      </c>
      <c r="AD25" s="9">
        <v>4.9828571428571404</v>
      </c>
      <c r="AE25" s="9">
        <v>3.7828571428571398</v>
      </c>
      <c r="AF25" s="9">
        <v>4.84</v>
      </c>
      <c r="AG25" s="9">
        <v>1.29838709677419</v>
      </c>
      <c r="AH25" s="9">
        <v>0</v>
      </c>
      <c r="AI25" s="9">
        <v>0</v>
      </c>
      <c r="AJ25" s="9">
        <v>0</v>
      </c>
      <c r="AK25" s="9">
        <v>1.6065573770491799</v>
      </c>
      <c r="AL25" s="9">
        <v>1.36065573770492</v>
      </c>
      <c r="AM25" s="9">
        <v>2.3278688524590199</v>
      </c>
      <c r="AN25" s="9">
        <v>6.7704918032786896</v>
      </c>
      <c r="AO25" s="9">
        <v>4.6229508196721296</v>
      </c>
      <c r="AP25" s="9">
        <v>0.72131147540983598</v>
      </c>
      <c r="AQ25" s="9">
        <v>0</v>
      </c>
      <c r="AR25" s="9">
        <v>1.27058823529412</v>
      </c>
      <c r="AS25" s="9">
        <v>5.6411764705882401</v>
      </c>
      <c r="AT25" s="9">
        <v>27.613725490196099</v>
      </c>
      <c r="AU25" s="9">
        <v>29.283333333333299</v>
      </c>
      <c r="AV25" s="9">
        <v>37.423529411764697</v>
      </c>
      <c r="AW25" s="9">
        <v>17.865686274509802</v>
      </c>
      <c r="AX25" s="9">
        <f t="shared" si="5"/>
        <v>9627.458219869608</v>
      </c>
      <c r="AY25" s="9">
        <f t="shared" si="6"/>
        <v>2585.025788701394</v>
      </c>
      <c r="AZ25" s="9">
        <f t="shared" si="7"/>
        <v>3116.1910251231611</v>
      </c>
      <c r="BA25" s="9">
        <f t="shared" si="8"/>
        <v>4912.491754218634</v>
      </c>
      <c r="BB25" s="9">
        <f t="shared" si="9"/>
        <v>4714.966465650974</v>
      </c>
      <c r="BC25" s="20"/>
      <c r="BD25" s="9">
        <v>4642</v>
      </c>
      <c r="BF25" s="9">
        <v>4472</v>
      </c>
      <c r="BH25" s="9">
        <v>1183</v>
      </c>
      <c r="BI25" s="9">
        <f t="shared" si="10"/>
        <v>1183</v>
      </c>
      <c r="BJ25" s="9">
        <f t="shared" si="11"/>
        <v>8894.8303926273638</v>
      </c>
      <c r="BK25" s="12">
        <f t="shared" si="1"/>
        <v>1183</v>
      </c>
      <c r="BP25" s="9">
        <v>797</v>
      </c>
      <c r="BQ25" s="9">
        <f t="shared" si="12"/>
        <v>797</v>
      </c>
      <c r="BR25" s="12">
        <f t="shared" si="13"/>
        <v>8894.8303926273638</v>
      </c>
      <c r="BS25" s="23">
        <f t="shared" si="2"/>
        <v>797</v>
      </c>
      <c r="BU25" s="9">
        <v>493</v>
      </c>
      <c r="BW25" s="9">
        <v>127</v>
      </c>
      <c r="BX25" s="9">
        <v>687</v>
      </c>
      <c r="BY25" s="9">
        <v>740</v>
      </c>
      <c r="BZ25" s="9">
        <v>733</v>
      </c>
      <c r="CA25" s="9">
        <v>756</v>
      </c>
      <c r="CB25" s="9">
        <v>773</v>
      </c>
      <c r="CC25" s="9">
        <v>810</v>
      </c>
      <c r="CD25" s="9">
        <v>825</v>
      </c>
      <c r="CE25" s="9">
        <v>785</v>
      </c>
      <c r="CF25" s="9">
        <v>830</v>
      </c>
      <c r="CG25" s="9">
        <v>798</v>
      </c>
      <c r="CH25" s="9">
        <v>835</v>
      </c>
      <c r="CI25" s="9">
        <v>793</v>
      </c>
      <c r="CJ25" s="9">
        <v>742</v>
      </c>
      <c r="CK25" s="12">
        <f t="shared" si="14"/>
        <v>9763.5</v>
      </c>
      <c r="CL25" s="9">
        <f t="shared" si="15"/>
        <v>2572.5</v>
      </c>
      <c r="CM25" s="9">
        <f t="shared" si="16"/>
        <v>3168</v>
      </c>
      <c r="CN25" s="9">
        <f t="shared" si="17"/>
        <v>4980.5</v>
      </c>
      <c r="CO25" s="9">
        <f t="shared" si="21"/>
        <v>4783</v>
      </c>
      <c r="CQ25" s="9">
        <f t="shared" si="18"/>
        <v>5324</v>
      </c>
      <c r="CR25" s="9">
        <f t="shared" si="19"/>
        <v>4783</v>
      </c>
    </row>
    <row r="26" spans="1:96" ht="43.5">
      <c r="A26" t="str">
        <f t="shared" si="0"/>
        <v>092</v>
      </c>
      <c r="B26">
        <f t="shared" si="4"/>
        <v>92</v>
      </c>
      <c r="C26" s="15" t="s">
        <v>34</v>
      </c>
      <c r="D26" s="11"/>
      <c r="E26" s="9">
        <f>SUM(3.89506172839506*0.5)</f>
        <v>1.94753086419753</v>
      </c>
      <c r="F26" s="9">
        <v>2.87654320987654</v>
      </c>
      <c r="G26" s="9">
        <v>0.98148148148148195</v>
      </c>
      <c r="H26" s="9">
        <v>4.8703703703703702</v>
      </c>
      <c r="I26" s="9">
        <v>5.6543209876543203</v>
      </c>
      <c r="J26" s="9">
        <v>4.9969135802469102</v>
      </c>
      <c r="K26" s="9">
        <v>3.69753086419753</v>
      </c>
      <c r="L26" s="9">
        <v>5.7345679012345698</v>
      </c>
      <c r="M26" s="9">
        <v>5.7654320987654302</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f t="shared" si="5"/>
        <v>38.350925925925921</v>
      </c>
      <c r="AY26" s="9">
        <f t="shared" si="6"/>
        <v>11.209722222222219</v>
      </c>
      <c r="AZ26" s="9">
        <f t="shared" si="7"/>
        <v>0</v>
      </c>
      <c r="BA26" s="9">
        <f t="shared" si="8"/>
        <v>26.275925925925918</v>
      </c>
      <c r="BB26" s="9">
        <f t="shared" si="9"/>
        <v>12.075000000000001</v>
      </c>
      <c r="BC26" s="20"/>
      <c r="BD26" s="9">
        <v>18</v>
      </c>
      <c r="BF26" s="9">
        <v>22</v>
      </c>
      <c r="BH26" s="9">
        <v>10</v>
      </c>
      <c r="BI26" s="9">
        <f t="shared" si="10"/>
        <v>10</v>
      </c>
      <c r="BJ26" s="9">
        <f t="shared" si="11"/>
        <v>36.524691358024683</v>
      </c>
      <c r="BK26" s="12">
        <f t="shared" si="1"/>
        <v>10</v>
      </c>
      <c r="BP26" s="9">
        <v>0</v>
      </c>
      <c r="BQ26" s="9">
        <f t="shared" si="12"/>
        <v>0</v>
      </c>
      <c r="BR26" s="12">
        <f t="shared" si="13"/>
        <v>36.524691358024683</v>
      </c>
      <c r="BS26" s="23">
        <f t="shared" si="2"/>
        <v>0</v>
      </c>
      <c r="BU26" s="9">
        <v>0</v>
      </c>
      <c r="BW26" s="9">
        <v>9</v>
      </c>
      <c r="BX26" s="9">
        <v>7</v>
      </c>
      <c r="BY26" s="9">
        <v>5</v>
      </c>
      <c r="BZ26" s="9">
        <v>3</v>
      </c>
      <c r="CA26" s="9">
        <v>2</v>
      </c>
      <c r="CB26" s="9">
        <v>6</v>
      </c>
      <c r="CC26" s="9">
        <v>7</v>
      </c>
      <c r="CD26" s="9">
        <v>5</v>
      </c>
      <c r="CE26" s="9">
        <v>4</v>
      </c>
      <c r="CF26" s="9">
        <v>5</v>
      </c>
      <c r="CG26" s="9">
        <v>0</v>
      </c>
      <c r="CH26" s="9">
        <v>0</v>
      </c>
      <c r="CI26" s="9">
        <v>0</v>
      </c>
      <c r="CJ26" s="9">
        <v>0</v>
      </c>
      <c r="CK26" s="12">
        <f t="shared" si="14"/>
        <v>40.5</v>
      </c>
      <c r="CL26" s="9">
        <f t="shared" si="15"/>
        <v>13.5</v>
      </c>
      <c r="CM26" s="9">
        <f t="shared" si="16"/>
        <v>0</v>
      </c>
      <c r="CN26" s="9">
        <f t="shared" si="17"/>
        <v>31.5</v>
      </c>
      <c r="CO26" s="207">
        <f t="shared" si="20"/>
        <v>9</v>
      </c>
      <c r="CQ26" s="9">
        <f t="shared" si="18"/>
        <v>35</v>
      </c>
      <c r="CR26" s="9">
        <f t="shared" si="19"/>
        <v>9</v>
      </c>
    </row>
    <row r="27" spans="1:96" ht="29.25">
      <c r="A27" t="str">
        <f t="shared" si="0"/>
        <v>093</v>
      </c>
      <c r="B27">
        <f t="shared" si="4"/>
        <v>93</v>
      </c>
      <c r="C27" s="15" t="s">
        <v>35</v>
      </c>
      <c r="D27" s="11"/>
      <c r="E27" s="9">
        <f>SUM(850.596848835252*0.5)</f>
        <v>425.29842441762599</v>
      </c>
      <c r="F27" s="9">
        <v>896.69809689578506</v>
      </c>
      <c r="G27" s="9">
        <v>900.52757948560702</v>
      </c>
      <c r="H27" s="9">
        <v>986.33119813538099</v>
      </c>
      <c r="I27" s="9">
        <v>973.59360303203596</v>
      </c>
      <c r="J27" s="9">
        <v>963.10414824736597</v>
      </c>
      <c r="K27" s="9">
        <v>931.96074498765495</v>
      </c>
      <c r="L27" s="9">
        <v>918.08830850357697</v>
      </c>
      <c r="M27" s="9">
        <v>929.32375364236998</v>
      </c>
      <c r="N27" s="9">
        <v>909.55472047202704</v>
      </c>
      <c r="O27" s="9">
        <v>859.94178255068198</v>
      </c>
      <c r="P27" s="9">
        <v>843.45407361974605</v>
      </c>
      <c r="Q27" s="9">
        <v>664.50440241568299</v>
      </c>
      <c r="R27" s="9">
        <v>0</v>
      </c>
      <c r="S27" s="9">
        <v>0</v>
      </c>
      <c r="T27" s="9">
        <v>0</v>
      </c>
      <c r="U27" s="9">
        <v>11.5939064367816</v>
      </c>
      <c r="V27" s="9">
        <v>26.382942351542599</v>
      </c>
      <c r="W27" s="9">
        <v>23.880141992337201</v>
      </c>
      <c r="X27" s="9">
        <v>39.109367616722601</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0</v>
      </c>
      <c r="AS27" s="9">
        <v>0</v>
      </c>
      <c r="AT27" s="9">
        <v>5.9637254901960803</v>
      </c>
      <c r="AU27" s="9">
        <v>2.5882352941176499</v>
      </c>
      <c r="AV27" s="9">
        <v>1.6823529411764699</v>
      </c>
      <c r="AW27" s="9">
        <v>0.57156862745098003</v>
      </c>
      <c r="AX27" s="9">
        <f t="shared" si="5"/>
        <v>11879.860731013656</v>
      </c>
      <c r="AY27" s="9">
        <f t="shared" si="6"/>
        <v>3369.2980638811191</v>
      </c>
      <c r="AZ27" s="9">
        <f t="shared" si="7"/>
        <v>3558.6885807988861</v>
      </c>
      <c r="BA27" s="9">
        <f t="shared" si="8"/>
        <v>6381.389484961529</v>
      </c>
      <c r="BB27" s="9">
        <f t="shared" si="9"/>
        <v>5498.4712460521314</v>
      </c>
      <c r="BC27" s="20"/>
      <c r="BD27" s="9">
        <v>4626.8</v>
      </c>
      <c r="BF27" s="9">
        <v>4228</v>
      </c>
      <c r="BH27" s="9">
        <v>1399</v>
      </c>
      <c r="BI27" s="9">
        <f t="shared" si="10"/>
        <v>1399</v>
      </c>
      <c r="BJ27" s="9">
        <f t="shared" si="11"/>
        <v>11202.380836405542</v>
      </c>
      <c r="BK27" s="12">
        <f t="shared" si="1"/>
        <v>1399</v>
      </c>
      <c r="BP27" s="9">
        <v>721</v>
      </c>
      <c r="BQ27" s="9">
        <f t="shared" si="12"/>
        <v>721</v>
      </c>
      <c r="BR27" s="12">
        <f t="shared" si="13"/>
        <v>11202.380836405542</v>
      </c>
      <c r="BS27" s="23">
        <f t="shared" si="2"/>
        <v>721</v>
      </c>
      <c r="BU27" s="9">
        <v>796</v>
      </c>
      <c r="BW27" s="9">
        <v>117</v>
      </c>
      <c r="BX27" s="9">
        <v>909</v>
      </c>
      <c r="BY27" s="9">
        <v>942</v>
      </c>
      <c r="BZ27" s="9">
        <v>939</v>
      </c>
      <c r="CA27" s="9">
        <v>957</v>
      </c>
      <c r="CB27" s="9">
        <v>1045</v>
      </c>
      <c r="CC27" s="9">
        <v>1037</v>
      </c>
      <c r="CD27" s="9">
        <v>1029</v>
      </c>
      <c r="CE27" s="9">
        <v>1017</v>
      </c>
      <c r="CF27" s="9">
        <v>998</v>
      </c>
      <c r="CG27" s="9">
        <v>1045</v>
      </c>
      <c r="CH27" s="9">
        <v>997</v>
      </c>
      <c r="CI27" s="9">
        <v>950</v>
      </c>
      <c r="CJ27" s="9">
        <v>927</v>
      </c>
      <c r="CK27" s="12">
        <f t="shared" si="14"/>
        <v>12337.5</v>
      </c>
      <c r="CL27" s="9">
        <f t="shared" si="15"/>
        <v>3292.5</v>
      </c>
      <c r="CM27" s="9">
        <f t="shared" si="16"/>
        <v>3919</v>
      </c>
      <c r="CN27" s="9">
        <f t="shared" si="17"/>
        <v>6403.5</v>
      </c>
      <c r="CO27" s="9">
        <f t="shared" ref="CO27:CO46" si="22">MAX($D$181,(SUM(CE27:CJ27)))</f>
        <v>5934</v>
      </c>
      <c r="CQ27" s="9">
        <f t="shared" si="18"/>
        <v>6858</v>
      </c>
      <c r="CR27" s="9">
        <f t="shared" si="19"/>
        <v>5934</v>
      </c>
    </row>
    <row r="28" spans="1:96" ht="29.25">
      <c r="A28" t="str">
        <f t="shared" si="0"/>
        <v>101</v>
      </c>
      <c r="B28">
        <f t="shared" si="4"/>
        <v>101</v>
      </c>
      <c r="C28" s="15" t="s">
        <v>36</v>
      </c>
      <c r="D28" s="11"/>
      <c r="E28" s="9">
        <f>SUM(93.9818181818182*0.5)</f>
        <v>46.990909090909099</v>
      </c>
      <c r="F28" s="9">
        <v>96.7031305284886</v>
      </c>
      <c r="G28" s="9">
        <v>99.285272293125701</v>
      </c>
      <c r="H28" s="9">
        <v>118.548907937999</v>
      </c>
      <c r="I28" s="9">
        <v>101.605549700409</v>
      </c>
      <c r="J28" s="9">
        <v>95.664469214242402</v>
      </c>
      <c r="K28" s="9">
        <v>105.921933085502</v>
      </c>
      <c r="L28" s="9">
        <v>115.895910780669</v>
      </c>
      <c r="M28" s="9">
        <v>92.204460966542797</v>
      </c>
      <c r="N28" s="9">
        <v>118.599112785206</v>
      </c>
      <c r="O28" s="9">
        <v>105.40452787862699</v>
      </c>
      <c r="P28" s="9">
        <v>95.533081235221701</v>
      </c>
      <c r="Q28" s="9">
        <v>94.634686346863504</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c r="AQ28" s="9">
        <v>0</v>
      </c>
      <c r="AR28" s="9">
        <v>0</v>
      </c>
      <c r="AS28" s="9">
        <v>0.47647058823529398</v>
      </c>
      <c r="AT28" s="9">
        <v>4.2588235294117602</v>
      </c>
      <c r="AU28" s="9">
        <v>5.5470588235294098</v>
      </c>
      <c r="AV28" s="9">
        <v>3.8852941176470601</v>
      </c>
      <c r="AW28" s="9">
        <v>0</v>
      </c>
      <c r="AX28" s="9">
        <f t="shared" si="5"/>
        <v>1366.2175788477609</v>
      </c>
      <c r="AY28" s="9">
        <f t="shared" si="6"/>
        <v>379.60463084304854</v>
      </c>
      <c r="AZ28" s="9">
        <f t="shared" si="7"/>
        <v>449.25571395233169</v>
      </c>
      <c r="BA28" s="9">
        <f t="shared" si="8"/>
        <v>697.95618044320975</v>
      </c>
      <c r="BB28" s="9">
        <f t="shared" si="9"/>
        <v>668.2613984045513</v>
      </c>
      <c r="BC28" s="20"/>
      <c r="BD28" s="9">
        <v>749</v>
      </c>
      <c r="BF28" s="9">
        <v>711</v>
      </c>
      <c r="BH28" s="9">
        <v>226</v>
      </c>
      <c r="BI28" s="9">
        <f t="shared" si="10"/>
        <v>226</v>
      </c>
      <c r="BJ28" s="9">
        <f t="shared" si="11"/>
        <v>1286.9919518438057</v>
      </c>
      <c r="BK28" s="12">
        <f t="shared" si="1"/>
        <v>226</v>
      </c>
      <c r="BP28" s="9">
        <v>19</v>
      </c>
      <c r="BQ28" s="9">
        <f t="shared" si="12"/>
        <v>19</v>
      </c>
      <c r="BR28" s="12">
        <f t="shared" si="13"/>
        <v>1286.9919518438057</v>
      </c>
      <c r="BS28" s="23">
        <f t="shared" si="2"/>
        <v>19</v>
      </c>
      <c r="BU28" s="9">
        <v>24</v>
      </c>
      <c r="BW28" s="9">
        <v>38</v>
      </c>
      <c r="BX28" s="9">
        <v>109</v>
      </c>
      <c r="BY28" s="9">
        <v>100</v>
      </c>
      <c r="BZ28" s="9">
        <v>104</v>
      </c>
      <c r="CA28" s="9">
        <v>113</v>
      </c>
      <c r="CB28" s="9">
        <v>122</v>
      </c>
      <c r="CC28" s="9">
        <v>106</v>
      </c>
      <c r="CD28" s="9">
        <v>93</v>
      </c>
      <c r="CE28" s="9">
        <v>107</v>
      </c>
      <c r="CF28" s="9">
        <v>122</v>
      </c>
      <c r="CG28" s="9">
        <v>105</v>
      </c>
      <c r="CH28" s="9">
        <v>127</v>
      </c>
      <c r="CI28" s="9">
        <v>114</v>
      </c>
      <c r="CJ28" s="9">
        <v>94</v>
      </c>
      <c r="CK28" s="12">
        <f t="shared" si="14"/>
        <v>1361.5</v>
      </c>
      <c r="CL28" s="9">
        <f t="shared" si="15"/>
        <v>371.5</v>
      </c>
      <c r="CM28" s="9">
        <f t="shared" si="16"/>
        <v>440</v>
      </c>
      <c r="CN28" s="9">
        <f t="shared" si="17"/>
        <v>692.5</v>
      </c>
      <c r="CO28" s="9">
        <f t="shared" si="22"/>
        <v>669</v>
      </c>
      <c r="CQ28" s="9">
        <f t="shared" si="18"/>
        <v>747</v>
      </c>
      <c r="CR28" s="9">
        <f t="shared" si="19"/>
        <v>669</v>
      </c>
    </row>
    <row r="29" spans="1:96" ht="29.25">
      <c r="A29" t="str">
        <f t="shared" si="0"/>
        <v>111</v>
      </c>
      <c r="B29">
        <f t="shared" si="4"/>
        <v>111</v>
      </c>
      <c r="C29" s="15" t="s">
        <v>37</v>
      </c>
      <c r="D29" s="11"/>
      <c r="E29" s="9">
        <f>SUM(26.5531914893617*0.5)</f>
        <v>13.276595744680851</v>
      </c>
      <c r="F29" s="9">
        <v>27.489361702127699</v>
      </c>
      <c r="G29" s="9">
        <v>35.078014184397198</v>
      </c>
      <c r="H29" s="9">
        <v>38.780141843971599</v>
      </c>
      <c r="I29" s="9">
        <v>42.343971631205697</v>
      </c>
      <c r="J29" s="9">
        <v>25.248226950354599</v>
      </c>
      <c r="K29" s="9">
        <v>37.052447552447603</v>
      </c>
      <c r="L29" s="9">
        <v>29.534965034965001</v>
      </c>
      <c r="M29" s="9">
        <v>30.608391608391599</v>
      </c>
      <c r="N29" s="9">
        <v>33.276223776223802</v>
      </c>
      <c r="O29" s="9">
        <v>23.758741258741299</v>
      </c>
      <c r="P29" s="9">
        <v>17.192307692307701</v>
      </c>
      <c r="Q29" s="9">
        <v>20.846153846153801</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0</v>
      </c>
      <c r="AS29" s="9">
        <v>0</v>
      </c>
      <c r="AT29" s="9">
        <v>0</v>
      </c>
      <c r="AU29" s="9">
        <v>0</v>
      </c>
      <c r="AV29" s="9">
        <v>0</v>
      </c>
      <c r="AW29" s="9">
        <v>0</v>
      </c>
      <c r="AX29" s="9">
        <f t="shared" si="5"/>
        <v>393.20981996726687</v>
      </c>
      <c r="AY29" s="9">
        <f t="shared" si="6"/>
        <v>120.35531914893623</v>
      </c>
      <c r="AZ29" s="9">
        <f t="shared" si="7"/>
        <v>99.827097902097933</v>
      </c>
      <c r="BA29" s="9">
        <f t="shared" si="8"/>
        <v>230.23219758964453</v>
      </c>
      <c r="BB29" s="9">
        <f t="shared" si="9"/>
        <v>162.97762237762237</v>
      </c>
      <c r="BC29" s="20"/>
      <c r="BD29" s="9">
        <v>189</v>
      </c>
      <c r="BF29" s="9">
        <v>195</v>
      </c>
      <c r="BH29" s="9">
        <v>73</v>
      </c>
      <c r="BI29" s="9">
        <f t="shared" si="10"/>
        <v>73</v>
      </c>
      <c r="BJ29" s="9">
        <f t="shared" si="11"/>
        <v>374.48554282596842</v>
      </c>
      <c r="BK29" s="12">
        <f t="shared" si="1"/>
        <v>73</v>
      </c>
      <c r="BP29" s="9">
        <v>8</v>
      </c>
      <c r="BQ29" s="9">
        <f t="shared" si="12"/>
        <v>8</v>
      </c>
      <c r="BR29" s="12">
        <f t="shared" si="13"/>
        <v>374.48554282596842</v>
      </c>
      <c r="BS29" s="23">
        <f t="shared" si="2"/>
        <v>8</v>
      </c>
      <c r="BU29" s="9">
        <v>0</v>
      </c>
      <c r="BW29" s="9">
        <v>17</v>
      </c>
      <c r="BX29" s="9">
        <v>24</v>
      </c>
      <c r="BY29" s="9">
        <v>31</v>
      </c>
      <c r="BZ29" s="9">
        <v>29</v>
      </c>
      <c r="CA29" s="9">
        <v>31</v>
      </c>
      <c r="CB29" s="9">
        <v>42</v>
      </c>
      <c r="CC29" s="9">
        <v>43</v>
      </c>
      <c r="CD29" s="9">
        <v>31</v>
      </c>
      <c r="CE29" s="9">
        <v>41</v>
      </c>
      <c r="CF29" s="9">
        <v>33</v>
      </c>
      <c r="CG29" s="9">
        <v>28</v>
      </c>
      <c r="CH29" s="9">
        <v>35</v>
      </c>
      <c r="CI29" s="9">
        <v>26</v>
      </c>
      <c r="CJ29" s="9">
        <v>20</v>
      </c>
      <c r="CK29" s="12">
        <f t="shared" si="14"/>
        <v>402</v>
      </c>
      <c r="CL29" s="9">
        <f t="shared" si="15"/>
        <v>103</v>
      </c>
      <c r="CM29" s="9">
        <f t="shared" si="16"/>
        <v>109</v>
      </c>
      <c r="CN29" s="9">
        <f t="shared" si="17"/>
        <v>219</v>
      </c>
      <c r="CO29" s="9">
        <f t="shared" si="22"/>
        <v>183</v>
      </c>
      <c r="CQ29" s="9">
        <f t="shared" si="18"/>
        <v>231</v>
      </c>
      <c r="CR29" s="9">
        <f t="shared" si="19"/>
        <v>183</v>
      </c>
    </row>
    <row r="30" spans="1:96" ht="29.25">
      <c r="A30" t="str">
        <f t="shared" si="0"/>
        <v>121</v>
      </c>
      <c r="B30">
        <f t="shared" si="4"/>
        <v>121</v>
      </c>
      <c r="C30" s="15" t="s">
        <v>38</v>
      </c>
      <c r="D30" s="11"/>
      <c r="E30" s="9">
        <f>SUM(17.8816199376947*0.5)</f>
        <v>8.9408099688473506</v>
      </c>
      <c r="F30" s="9">
        <v>13.668711656441699</v>
      </c>
      <c r="G30" s="9">
        <v>7.6809815950920202</v>
      </c>
      <c r="H30" s="9">
        <v>10.960122699386501</v>
      </c>
      <c r="I30" s="9">
        <v>13.438650306748499</v>
      </c>
      <c r="J30" s="9">
        <v>15.625766871165601</v>
      </c>
      <c r="K30" s="9">
        <v>17.812883435582801</v>
      </c>
      <c r="L30" s="9">
        <v>6.8851963746223603</v>
      </c>
      <c r="M30" s="9">
        <v>14.8398426668584</v>
      </c>
      <c r="N30" s="9">
        <v>8.1117824773413894</v>
      </c>
      <c r="O30" s="9">
        <v>8.6978851963746209</v>
      </c>
      <c r="P30" s="9">
        <v>8.6646525679758302</v>
      </c>
      <c r="Q30" s="9">
        <v>4.8854489164086701</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f t="shared" si="5"/>
        <v>147.22337146948803</v>
      </c>
      <c r="AY30" s="9">
        <f t="shared" si="6"/>
        <v>43.31315721575595</v>
      </c>
      <c r="AZ30" s="9">
        <f t="shared" si="7"/>
        <v>31.877757616005539</v>
      </c>
      <c r="BA30" s="9">
        <f t="shared" si="8"/>
        <v>92.534322859927698</v>
      </c>
      <c r="BB30" s="9">
        <f t="shared" si="9"/>
        <v>54.689048609560338</v>
      </c>
      <c r="BC30" s="20"/>
      <c r="BD30" s="9">
        <v>72</v>
      </c>
      <c r="BF30" s="9">
        <v>56</v>
      </c>
      <c r="BH30" s="9">
        <v>21</v>
      </c>
      <c r="BI30" s="9">
        <f t="shared" si="10"/>
        <v>21</v>
      </c>
      <c r="BJ30" s="9">
        <f t="shared" si="11"/>
        <v>140.21273473284575</v>
      </c>
      <c r="BK30" s="12">
        <f t="shared" si="1"/>
        <v>21</v>
      </c>
      <c r="BP30" s="9">
        <v>0</v>
      </c>
      <c r="BQ30" s="9">
        <f t="shared" si="12"/>
        <v>0</v>
      </c>
      <c r="BR30" s="12">
        <f t="shared" si="13"/>
        <v>140.21273473284575</v>
      </c>
      <c r="BS30" s="23">
        <f t="shared" si="2"/>
        <v>0</v>
      </c>
      <c r="BU30" s="9">
        <v>0</v>
      </c>
      <c r="BW30" s="9">
        <v>0</v>
      </c>
      <c r="BX30" s="9">
        <v>9</v>
      </c>
      <c r="BY30" s="9">
        <v>16</v>
      </c>
      <c r="BZ30" s="9">
        <v>16</v>
      </c>
      <c r="CA30" s="9">
        <v>10</v>
      </c>
      <c r="CB30" s="9">
        <v>15</v>
      </c>
      <c r="CC30" s="9">
        <v>13</v>
      </c>
      <c r="CD30" s="9">
        <v>16</v>
      </c>
      <c r="CE30" s="9">
        <v>21</v>
      </c>
      <c r="CF30" s="9">
        <v>9</v>
      </c>
      <c r="CG30" s="9">
        <v>18</v>
      </c>
      <c r="CH30" s="9">
        <v>9</v>
      </c>
      <c r="CI30" s="9">
        <v>10</v>
      </c>
      <c r="CJ30" s="9">
        <v>8</v>
      </c>
      <c r="CK30" s="12">
        <f t="shared" si="14"/>
        <v>165.5</v>
      </c>
      <c r="CL30" s="9">
        <f t="shared" si="15"/>
        <v>46.5</v>
      </c>
      <c r="CM30" s="9">
        <f t="shared" si="16"/>
        <v>45</v>
      </c>
      <c r="CN30" s="9">
        <f t="shared" si="17"/>
        <v>90.5</v>
      </c>
      <c r="CO30" s="9">
        <f t="shared" si="22"/>
        <v>100</v>
      </c>
      <c r="CQ30" s="9">
        <f t="shared" si="18"/>
        <v>95</v>
      </c>
      <c r="CR30" s="9">
        <f t="shared" si="19"/>
        <v>75</v>
      </c>
    </row>
    <row r="31" spans="1:96" ht="29.25">
      <c r="A31" t="str">
        <f t="shared" si="0"/>
        <v>131</v>
      </c>
      <c r="B31">
        <f t="shared" si="4"/>
        <v>131</v>
      </c>
      <c r="C31" s="15" t="s">
        <v>39</v>
      </c>
      <c r="D31" s="11"/>
      <c r="E31" s="9">
        <f>SUM(945.797161881019*0.5)</f>
        <v>472.89858094050948</v>
      </c>
      <c r="F31" s="9">
        <v>981.29261363636397</v>
      </c>
      <c r="G31" s="9">
        <v>966.45984613461496</v>
      </c>
      <c r="H31" s="9">
        <v>1028.20170454545</v>
      </c>
      <c r="I31" s="9">
        <v>1027.95170454545</v>
      </c>
      <c r="J31" s="9">
        <v>1026.26704545455</v>
      </c>
      <c r="K31" s="9">
        <v>1076.9514285714299</v>
      </c>
      <c r="L31" s="9">
        <v>1096.8428571428601</v>
      </c>
      <c r="M31" s="9">
        <v>1064.36370576592</v>
      </c>
      <c r="N31" s="9">
        <v>988.98571428571404</v>
      </c>
      <c r="O31" s="9">
        <v>973.56285714285696</v>
      </c>
      <c r="P31" s="9">
        <v>897.70857142857096</v>
      </c>
      <c r="Q31" s="9">
        <v>843.81714285714304</v>
      </c>
      <c r="R31" s="9">
        <v>0</v>
      </c>
      <c r="S31" s="9">
        <v>0</v>
      </c>
      <c r="T31" s="9">
        <v>0</v>
      </c>
      <c r="U31" s="9">
        <v>21.588385346513</v>
      </c>
      <c r="V31" s="9">
        <v>30.943064655493501</v>
      </c>
      <c r="W31" s="9">
        <v>48.264829123126098</v>
      </c>
      <c r="X31" s="9">
        <v>42.770563575418997</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48.360623529411697</v>
      </c>
      <c r="AR31" s="9">
        <v>36.956356862745103</v>
      </c>
      <c r="AS31" s="9">
        <v>25.656698039215701</v>
      </c>
      <c r="AT31" s="9">
        <v>84.902313725490203</v>
      </c>
      <c r="AU31" s="9">
        <v>95.339168627451102</v>
      </c>
      <c r="AV31" s="9">
        <v>82.237003921568601</v>
      </c>
      <c r="AW31" s="9">
        <v>15.0914392156863</v>
      </c>
      <c r="AX31" s="9">
        <f t="shared" si="5"/>
        <v>13626.284930027236</v>
      </c>
      <c r="AY31" s="9">
        <f t="shared" si="6"/>
        <v>3621.2953825197856</v>
      </c>
      <c r="AZ31" s="9">
        <f t="shared" si="7"/>
        <v>4331.4716066002848</v>
      </c>
      <c r="BA31" s="9">
        <f t="shared" si="8"/>
        <v>6959.8027247256696</v>
      </c>
      <c r="BB31" s="9">
        <f t="shared" si="9"/>
        <v>6666.4822053015623</v>
      </c>
      <c r="BC31" s="20"/>
      <c r="BD31" s="9">
        <v>9428.7999999999993</v>
      </c>
      <c r="BE31" s="9">
        <v>5457</v>
      </c>
      <c r="BF31" s="9">
        <v>8178</v>
      </c>
      <c r="BH31" s="9">
        <v>1575</v>
      </c>
      <c r="BI31" s="9">
        <f t="shared" si="10"/>
        <v>1575</v>
      </c>
      <c r="BJ31" s="9">
        <f t="shared" si="11"/>
        <v>12445.303772451434</v>
      </c>
      <c r="BK31" s="12">
        <f t="shared" si="1"/>
        <v>1575</v>
      </c>
      <c r="BP31" s="9">
        <v>1704</v>
      </c>
      <c r="BQ31" s="9">
        <f t="shared" si="12"/>
        <v>1704</v>
      </c>
      <c r="BR31" s="12">
        <f t="shared" si="13"/>
        <v>12445.303772451434</v>
      </c>
      <c r="BS31" s="23">
        <f t="shared" si="2"/>
        <v>1704</v>
      </c>
      <c r="BU31" s="9">
        <v>425</v>
      </c>
      <c r="BW31" s="9">
        <v>141</v>
      </c>
      <c r="BX31" s="9">
        <v>943</v>
      </c>
      <c r="BY31" s="9">
        <v>1035</v>
      </c>
      <c r="BZ31" s="9">
        <v>1042</v>
      </c>
      <c r="CA31" s="9">
        <v>1025</v>
      </c>
      <c r="CB31" s="9">
        <v>1092</v>
      </c>
      <c r="CC31" s="9">
        <v>1047</v>
      </c>
      <c r="CD31" s="9">
        <v>1069</v>
      </c>
      <c r="CE31" s="9">
        <v>1127</v>
      </c>
      <c r="CF31" s="9">
        <v>1175</v>
      </c>
      <c r="CG31" s="9">
        <v>1183</v>
      </c>
      <c r="CH31" s="9">
        <v>1067</v>
      </c>
      <c r="CI31" s="9">
        <v>1038</v>
      </c>
      <c r="CJ31" s="9">
        <v>994</v>
      </c>
      <c r="CK31" s="12">
        <f t="shared" si="14"/>
        <v>13365.5</v>
      </c>
      <c r="CL31" s="9">
        <f t="shared" si="15"/>
        <v>3573.5</v>
      </c>
      <c r="CM31" s="9">
        <f t="shared" si="16"/>
        <v>4282</v>
      </c>
      <c r="CN31" s="9">
        <f t="shared" si="17"/>
        <v>6781.5</v>
      </c>
      <c r="CO31" s="9">
        <f t="shared" si="22"/>
        <v>6584</v>
      </c>
      <c r="CQ31" s="9">
        <f t="shared" si="18"/>
        <v>7253</v>
      </c>
      <c r="CR31" s="9">
        <f t="shared" si="19"/>
        <v>6584</v>
      </c>
    </row>
    <row r="32" spans="1:96" ht="29.25">
      <c r="A32" t="str">
        <f t="shared" si="0"/>
        <v>132</v>
      </c>
      <c r="B32">
        <f t="shared" si="4"/>
        <v>132</v>
      </c>
      <c r="C32" s="15" t="s">
        <v>40</v>
      </c>
      <c r="D32" s="11"/>
      <c r="E32" s="9">
        <f>SUM(460.953488372093*0.5)</f>
        <v>230.47674418604649</v>
      </c>
      <c r="F32" s="9">
        <v>444.43313953488399</v>
      </c>
      <c r="G32" s="9">
        <v>496.53488372093</v>
      </c>
      <c r="H32" s="9">
        <v>448.66860465116298</v>
      </c>
      <c r="I32" s="9">
        <v>514.04941860465101</v>
      </c>
      <c r="J32" s="9">
        <v>526.05232558139505</v>
      </c>
      <c r="K32" s="9">
        <v>468.02906976744202</v>
      </c>
      <c r="L32" s="9">
        <v>453.58430232558101</v>
      </c>
      <c r="M32" s="9">
        <v>418.26453488372101</v>
      </c>
      <c r="N32" s="9">
        <v>411.18409577696701</v>
      </c>
      <c r="O32" s="9">
        <v>336.89825581395303</v>
      </c>
      <c r="P32" s="9">
        <v>316.85211261873599</v>
      </c>
      <c r="Q32" s="9">
        <v>269.60574839548798</v>
      </c>
      <c r="R32" s="9">
        <v>8.0961820769936406</v>
      </c>
      <c r="S32" s="9">
        <v>12.6264396499084</v>
      </c>
      <c r="T32" s="9">
        <v>6.1808268991684097</v>
      </c>
      <c r="U32" s="9">
        <v>36.806909542882302</v>
      </c>
      <c r="V32" s="9">
        <v>73.014854270523102</v>
      </c>
      <c r="W32" s="9">
        <v>68.146383743431699</v>
      </c>
      <c r="X32" s="9">
        <v>56.901068181818196</v>
      </c>
      <c r="Y32" s="9">
        <v>0</v>
      </c>
      <c r="Z32" s="9">
        <v>0.46666666666666701</v>
      </c>
      <c r="AA32" s="9">
        <v>0.92800000000000005</v>
      </c>
      <c r="AB32" s="9">
        <v>1.1973684210526301</v>
      </c>
      <c r="AC32" s="9">
        <v>1.1726190476190499</v>
      </c>
      <c r="AD32" s="9">
        <v>5.6700507614213196</v>
      </c>
      <c r="AE32" s="9">
        <v>8.4771573604060908</v>
      </c>
      <c r="AF32" s="9">
        <v>6.8477157360406098</v>
      </c>
      <c r="AG32" s="9">
        <v>7.2741116751268997</v>
      </c>
      <c r="AH32" s="9">
        <v>0</v>
      </c>
      <c r="AI32" s="9">
        <v>0</v>
      </c>
      <c r="AJ32" s="9">
        <v>3.2258064516128997E-2</v>
      </c>
      <c r="AK32" s="9">
        <v>0</v>
      </c>
      <c r="AL32" s="9">
        <v>0.61290322580645196</v>
      </c>
      <c r="AM32" s="9">
        <v>1.0322580645161299</v>
      </c>
      <c r="AN32" s="9">
        <v>7.5806451612903203</v>
      </c>
      <c r="AO32" s="9">
        <v>7.7741935483870996</v>
      </c>
      <c r="AP32" s="9">
        <v>8.5161290322580605</v>
      </c>
      <c r="AQ32" s="9">
        <v>7.8098039215686299</v>
      </c>
      <c r="AR32" s="9">
        <v>18.831372549019601</v>
      </c>
      <c r="AS32" s="9">
        <v>15.125490196078401</v>
      </c>
      <c r="AT32" s="9">
        <v>13.656862745098</v>
      </c>
      <c r="AU32" s="9">
        <v>16.031372549019601</v>
      </c>
      <c r="AV32" s="9">
        <v>5.8607843137254898</v>
      </c>
      <c r="AW32" s="9">
        <v>5.2196078431372603</v>
      </c>
      <c r="AX32" s="9">
        <f t="shared" si="5"/>
        <v>6023.349434663859</v>
      </c>
      <c r="AY32" s="9">
        <f t="shared" si="6"/>
        <v>1701.1190406976746</v>
      </c>
      <c r="AZ32" s="9">
        <f t="shared" si="7"/>
        <v>1746.5178329909374</v>
      </c>
      <c r="BA32" s="9">
        <f t="shared" si="8"/>
        <v>3302.8559516150694</v>
      </c>
      <c r="BB32" s="9">
        <f t="shared" si="9"/>
        <v>2720.4934830487905</v>
      </c>
      <c r="BC32" s="20"/>
      <c r="BD32" s="9">
        <v>5183.6000000000004</v>
      </c>
      <c r="BF32" s="153">
        <v>2722.12</v>
      </c>
      <c r="BH32" s="9">
        <v>768</v>
      </c>
      <c r="BI32" s="9">
        <f t="shared" si="10"/>
        <v>768</v>
      </c>
      <c r="BJ32" s="9">
        <f t="shared" si="11"/>
        <v>5334.6332358609579</v>
      </c>
      <c r="BK32" s="12">
        <f t="shared" si="1"/>
        <v>768</v>
      </c>
      <c r="BP32" s="9">
        <v>1599</v>
      </c>
      <c r="BQ32" s="9">
        <f t="shared" si="12"/>
        <v>1599</v>
      </c>
      <c r="BR32" s="12">
        <f t="shared" si="13"/>
        <v>5334.6332358609579</v>
      </c>
      <c r="BS32" s="23">
        <f t="shared" si="2"/>
        <v>1599</v>
      </c>
      <c r="BU32" s="9">
        <v>227</v>
      </c>
      <c r="BW32" s="9">
        <v>92</v>
      </c>
      <c r="BX32" s="9">
        <v>496</v>
      </c>
      <c r="BY32" s="9">
        <v>519</v>
      </c>
      <c r="BZ32" s="9">
        <v>482</v>
      </c>
      <c r="CA32" s="9">
        <v>523</v>
      </c>
      <c r="CB32" s="9">
        <v>466</v>
      </c>
      <c r="CC32" s="9">
        <v>532</v>
      </c>
      <c r="CD32" s="9">
        <v>527</v>
      </c>
      <c r="CE32" s="9">
        <v>501</v>
      </c>
      <c r="CF32" s="9">
        <v>493</v>
      </c>
      <c r="CG32" s="9">
        <v>476</v>
      </c>
      <c r="CH32" s="9">
        <v>484</v>
      </c>
      <c r="CI32" s="9">
        <v>419</v>
      </c>
      <c r="CJ32" s="9">
        <v>413</v>
      </c>
      <c r="CK32" s="12">
        <f t="shared" si="14"/>
        <v>6083</v>
      </c>
      <c r="CL32" s="9">
        <f t="shared" si="15"/>
        <v>1772</v>
      </c>
      <c r="CM32" s="9">
        <f t="shared" si="16"/>
        <v>1792</v>
      </c>
      <c r="CN32" s="9">
        <f t="shared" si="17"/>
        <v>3297</v>
      </c>
      <c r="CO32" s="9">
        <f t="shared" si="22"/>
        <v>2786</v>
      </c>
      <c r="CQ32" s="9">
        <f t="shared" si="18"/>
        <v>3545</v>
      </c>
      <c r="CR32" s="9">
        <f t="shared" si="19"/>
        <v>2786</v>
      </c>
    </row>
    <row r="33" spans="1:96" ht="29.25">
      <c r="A33" t="str">
        <f t="shared" si="0"/>
        <v>133</v>
      </c>
      <c r="B33">
        <f t="shared" si="4"/>
        <v>133</v>
      </c>
      <c r="C33" s="15" t="s">
        <v>41</v>
      </c>
      <c r="D33" s="11"/>
      <c r="E33" s="9">
        <f>SUM(35.8607954545455*0.5)</f>
        <v>17.930397727272751</v>
      </c>
      <c r="F33" s="9">
        <v>38.301136363636402</v>
      </c>
      <c r="G33" s="9">
        <v>38.090909090909101</v>
      </c>
      <c r="H33" s="9">
        <v>42.130681818181799</v>
      </c>
      <c r="I33" s="9">
        <v>42.230113636363598</v>
      </c>
      <c r="J33" s="9">
        <v>30.568181818181799</v>
      </c>
      <c r="K33" s="9">
        <v>45.471590909090899</v>
      </c>
      <c r="L33" s="9">
        <v>45.224431818181799</v>
      </c>
      <c r="M33" s="9">
        <v>36.400568181818201</v>
      </c>
      <c r="N33" s="9">
        <v>34.238636363636402</v>
      </c>
      <c r="O33" s="9">
        <v>23.943181818181799</v>
      </c>
      <c r="P33" s="9">
        <v>25.90625</v>
      </c>
      <c r="Q33" s="9">
        <v>23.161931818181799</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f t="shared" si="5"/>
        <v>465.77791193181821</v>
      </c>
      <c r="AY33" s="9">
        <f t="shared" si="6"/>
        <v>143.27578125000008</v>
      </c>
      <c r="AZ33" s="9">
        <f t="shared" si="7"/>
        <v>112.61250000000001</v>
      </c>
      <c r="BA33" s="9">
        <f t="shared" si="8"/>
        <v>267.45916193181819</v>
      </c>
      <c r="BB33" s="9">
        <f t="shared" si="9"/>
        <v>198.31874999999999</v>
      </c>
      <c r="BC33" s="20"/>
      <c r="BD33" s="9">
        <v>392</v>
      </c>
      <c r="BF33" s="153">
        <v>225.3</v>
      </c>
      <c r="BH33" s="9">
        <v>65</v>
      </c>
      <c r="BI33" s="9">
        <f t="shared" si="10"/>
        <v>65</v>
      </c>
      <c r="BJ33" s="9">
        <f t="shared" si="11"/>
        <v>443.59801136363637</v>
      </c>
      <c r="BK33" s="12">
        <f t="shared" si="1"/>
        <v>65</v>
      </c>
      <c r="BP33" s="9">
        <v>105</v>
      </c>
      <c r="BQ33" s="9">
        <f t="shared" si="12"/>
        <v>105</v>
      </c>
      <c r="BR33" s="12">
        <f t="shared" si="13"/>
        <v>443.59801136363637</v>
      </c>
      <c r="BS33" s="23">
        <f t="shared" si="2"/>
        <v>105</v>
      </c>
      <c r="BU33" s="9">
        <v>7</v>
      </c>
      <c r="BW33" s="9">
        <v>18</v>
      </c>
      <c r="BX33" s="9">
        <v>49</v>
      </c>
      <c r="BY33" s="9">
        <v>37</v>
      </c>
      <c r="BZ33" s="9">
        <v>41</v>
      </c>
      <c r="CA33" s="9">
        <v>42</v>
      </c>
      <c r="CB33" s="9">
        <v>50</v>
      </c>
      <c r="CC33" s="9">
        <v>47</v>
      </c>
      <c r="CD33" s="9">
        <v>34</v>
      </c>
      <c r="CE33" s="9">
        <v>49</v>
      </c>
      <c r="CF33" s="9">
        <v>47</v>
      </c>
      <c r="CG33" s="9">
        <v>39</v>
      </c>
      <c r="CH33" s="9">
        <v>39</v>
      </c>
      <c r="CI33" s="9">
        <v>19</v>
      </c>
      <c r="CJ33" s="9">
        <v>31</v>
      </c>
      <c r="CK33" s="12">
        <f t="shared" si="14"/>
        <v>499.5</v>
      </c>
      <c r="CL33" s="9">
        <f t="shared" si="15"/>
        <v>144.5</v>
      </c>
      <c r="CM33" s="9">
        <f t="shared" si="16"/>
        <v>128</v>
      </c>
      <c r="CN33" s="9">
        <f t="shared" si="17"/>
        <v>275.5</v>
      </c>
      <c r="CO33" s="9">
        <f t="shared" si="22"/>
        <v>224</v>
      </c>
      <c r="CQ33" s="9">
        <f t="shared" si="18"/>
        <v>300</v>
      </c>
      <c r="CR33" s="9">
        <f t="shared" si="19"/>
        <v>224</v>
      </c>
    </row>
    <row r="34" spans="1:96" ht="29.25">
      <c r="A34" t="str">
        <f t="shared" si="0"/>
        <v>134</v>
      </c>
      <c r="B34">
        <f t="shared" si="4"/>
        <v>134</v>
      </c>
      <c r="C34" s="15" t="s">
        <v>42</v>
      </c>
      <c r="D34" s="11"/>
      <c r="E34" s="9">
        <f>SUM(237.231430768248*0.5)</f>
        <v>118.615715384124</v>
      </c>
      <c r="F34" s="9">
        <v>250.169590643275</v>
      </c>
      <c r="G34" s="9">
        <v>271.58187134502901</v>
      </c>
      <c r="H34" s="9">
        <v>280.31286549707602</v>
      </c>
      <c r="I34" s="9">
        <v>316.23391812865498</v>
      </c>
      <c r="J34" s="9">
        <v>289.552631578947</v>
      </c>
      <c r="K34" s="9">
        <v>285.28947368421098</v>
      </c>
      <c r="L34" s="9">
        <v>323.730994152047</v>
      </c>
      <c r="M34" s="9">
        <v>280.59649122807002</v>
      </c>
      <c r="N34" s="9">
        <v>319.07207657939801</v>
      </c>
      <c r="O34" s="9">
        <v>284.664708942483</v>
      </c>
      <c r="P34" s="9">
        <v>287.40988290936599</v>
      </c>
      <c r="Q34" s="9">
        <v>235.659469398168</v>
      </c>
      <c r="R34" s="9">
        <v>0</v>
      </c>
      <c r="S34" s="9">
        <v>3.1590277243496301</v>
      </c>
      <c r="T34" s="9">
        <v>10.3779381919885</v>
      </c>
      <c r="U34" s="9">
        <v>12.0939589442815</v>
      </c>
      <c r="V34" s="9">
        <v>16.480144777743099</v>
      </c>
      <c r="W34" s="9">
        <v>20.191546343222601</v>
      </c>
      <c r="X34" s="9">
        <v>25.838310642326</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0.34313725490196101</v>
      </c>
      <c r="AR34" s="9">
        <v>0.14705882352941199</v>
      </c>
      <c r="AS34" s="9">
        <v>2.4019607843137298</v>
      </c>
      <c r="AT34" s="9">
        <v>7.8823529411764701</v>
      </c>
      <c r="AU34" s="9">
        <v>9.1078431372548998</v>
      </c>
      <c r="AV34" s="9">
        <v>10.078431372549</v>
      </c>
      <c r="AW34" s="9">
        <v>1.02941176470588</v>
      </c>
      <c r="AX34" s="9">
        <f t="shared" si="5"/>
        <v>3845.1218527818514</v>
      </c>
      <c r="AY34" s="9">
        <f t="shared" si="6"/>
        <v>966.71404501297923</v>
      </c>
      <c r="AZ34" s="9">
        <f t="shared" si="7"/>
        <v>1290.9835446403083</v>
      </c>
      <c r="BA34" s="9">
        <f t="shared" si="8"/>
        <v>1902.7041636920301</v>
      </c>
      <c r="BB34" s="9">
        <f t="shared" si="9"/>
        <v>1942.4176890898214</v>
      </c>
      <c r="BC34" s="20"/>
      <c r="BD34" s="9">
        <v>1588</v>
      </c>
      <c r="BF34" s="9">
        <v>1659</v>
      </c>
      <c r="BH34" s="9">
        <v>379</v>
      </c>
      <c r="BI34" s="9">
        <f t="shared" si="10"/>
        <v>379</v>
      </c>
      <c r="BJ34" s="9">
        <f t="shared" si="11"/>
        <v>3542.8896894708491</v>
      </c>
      <c r="BK34" s="12">
        <f t="shared" si="1"/>
        <v>379</v>
      </c>
      <c r="BP34" s="9">
        <v>108</v>
      </c>
      <c r="BQ34" s="9">
        <f t="shared" si="12"/>
        <v>108</v>
      </c>
      <c r="BR34" s="12">
        <f t="shared" si="13"/>
        <v>3542.8896894708491</v>
      </c>
      <c r="BS34" s="23">
        <f t="shared" si="2"/>
        <v>108</v>
      </c>
      <c r="BU34" s="9">
        <v>247</v>
      </c>
      <c r="BW34" s="9">
        <v>29</v>
      </c>
      <c r="BX34" s="9">
        <v>273</v>
      </c>
      <c r="BY34" s="9">
        <v>275</v>
      </c>
      <c r="BZ34" s="9">
        <v>281</v>
      </c>
      <c r="CA34" s="9">
        <v>295</v>
      </c>
      <c r="CB34" s="9">
        <v>302</v>
      </c>
      <c r="CC34" s="9">
        <v>323</v>
      </c>
      <c r="CD34" s="9">
        <v>318</v>
      </c>
      <c r="CE34" s="9">
        <v>312</v>
      </c>
      <c r="CF34" s="9">
        <v>353</v>
      </c>
      <c r="CG34" s="9">
        <v>326</v>
      </c>
      <c r="CH34" s="9">
        <v>359</v>
      </c>
      <c r="CI34" s="9">
        <v>319</v>
      </c>
      <c r="CJ34" s="9">
        <v>323</v>
      </c>
      <c r="CK34" s="12">
        <f t="shared" si="14"/>
        <v>3922.5</v>
      </c>
      <c r="CL34" s="9">
        <f t="shared" si="15"/>
        <v>987.5</v>
      </c>
      <c r="CM34" s="9">
        <f t="shared" si="16"/>
        <v>1327</v>
      </c>
      <c r="CN34" s="9">
        <f t="shared" si="17"/>
        <v>1930.5</v>
      </c>
      <c r="CO34" s="9">
        <f t="shared" si="22"/>
        <v>1992</v>
      </c>
      <c r="CQ34" s="9">
        <f t="shared" si="18"/>
        <v>2067</v>
      </c>
      <c r="CR34" s="9">
        <f t="shared" si="19"/>
        <v>1992</v>
      </c>
    </row>
    <row r="35" spans="1:96" ht="29.25">
      <c r="A35" t="str">
        <f t="shared" si="0"/>
        <v>135</v>
      </c>
      <c r="B35">
        <f t="shared" si="4"/>
        <v>135</v>
      </c>
      <c r="C35" s="15" t="s">
        <v>43</v>
      </c>
      <c r="D35" s="11"/>
      <c r="E35" s="9">
        <f>SUM(23.9324324324324*0.5)</f>
        <v>11.9662162162162</v>
      </c>
      <c r="F35" s="9">
        <v>30.6891891891892</v>
      </c>
      <c r="G35" s="9">
        <v>18.364864864864899</v>
      </c>
      <c r="H35" s="9">
        <v>31.581081081081098</v>
      </c>
      <c r="I35" s="9">
        <v>30.175675675675699</v>
      </c>
      <c r="J35" s="9">
        <v>28.351351351351401</v>
      </c>
      <c r="K35" s="9">
        <v>32.739864864864899</v>
      </c>
      <c r="L35" s="9">
        <v>35.773648648648603</v>
      </c>
      <c r="M35" s="9">
        <v>40.395270270270302</v>
      </c>
      <c r="N35" s="9">
        <v>30.577702702702702</v>
      </c>
      <c r="O35" s="9">
        <v>32.891891891891902</v>
      </c>
      <c r="P35" s="9">
        <v>33.016891891891902</v>
      </c>
      <c r="Q35" s="9">
        <v>29.550675675675699</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9">
        <v>0</v>
      </c>
      <c r="AS35" s="9">
        <v>0</v>
      </c>
      <c r="AT35" s="9">
        <v>0</v>
      </c>
      <c r="AU35" s="9">
        <v>0</v>
      </c>
      <c r="AV35" s="9">
        <v>0</v>
      </c>
      <c r="AW35" s="9">
        <v>0</v>
      </c>
      <c r="AX35" s="9">
        <f t="shared" si="5"/>
        <v>405.37804054054067</v>
      </c>
      <c r="AY35" s="9">
        <f t="shared" si="6"/>
        <v>97.231418918918976</v>
      </c>
      <c r="AZ35" s="9">
        <f t="shared" si="7"/>
        <v>132.33902027027034</v>
      </c>
      <c r="BA35" s="9">
        <f t="shared" si="8"/>
        <v>193.06165540540559</v>
      </c>
      <c r="BB35" s="9">
        <f t="shared" si="9"/>
        <v>212.31638513513519</v>
      </c>
      <c r="BC35" s="20"/>
      <c r="BD35" s="9">
        <v>247</v>
      </c>
      <c r="BF35" s="9">
        <v>253</v>
      </c>
      <c r="BH35" s="9">
        <v>53</v>
      </c>
      <c r="BI35" s="9">
        <f t="shared" si="10"/>
        <v>53</v>
      </c>
      <c r="BJ35" s="9">
        <f t="shared" si="11"/>
        <v>386.07432432432444</v>
      </c>
      <c r="BK35" s="12">
        <f t="shared" si="1"/>
        <v>53</v>
      </c>
      <c r="BP35" s="9">
        <v>39</v>
      </c>
      <c r="BQ35" s="9">
        <f t="shared" si="12"/>
        <v>39</v>
      </c>
      <c r="BR35" s="12">
        <f t="shared" si="13"/>
        <v>386.07432432432444</v>
      </c>
      <c r="BS35" s="23">
        <f t="shared" si="2"/>
        <v>39</v>
      </c>
      <c r="BU35" s="9">
        <v>14</v>
      </c>
      <c r="BW35" s="9">
        <v>0</v>
      </c>
      <c r="BX35" s="9">
        <v>25</v>
      </c>
      <c r="BY35" s="9">
        <v>23</v>
      </c>
      <c r="BZ35" s="9">
        <v>32</v>
      </c>
      <c r="CA35" s="9">
        <v>24</v>
      </c>
      <c r="CB35" s="9">
        <v>34</v>
      </c>
      <c r="CC35" s="9">
        <v>34</v>
      </c>
      <c r="CD35" s="9">
        <v>37</v>
      </c>
      <c r="CE35" s="9">
        <v>38</v>
      </c>
      <c r="CF35" s="9">
        <v>43</v>
      </c>
      <c r="CG35" s="9">
        <v>40</v>
      </c>
      <c r="CH35" s="9">
        <v>30</v>
      </c>
      <c r="CI35" s="9">
        <v>35</v>
      </c>
      <c r="CJ35" s="9">
        <v>31</v>
      </c>
      <c r="CK35" s="12">
        <f t="shared" si="14"/>
        <v>413.5</v>
      </c>
      <c r="CL35" s="9">
        <f t="shared" si="15"/>
        <v>91.5</v>
      </c>
      <c r="CM35" s="9">
        <f t="shared" si="16"/>
        <v>136</v>
      </c>
      <c r="CN35" s="9">
        <f t="shared" si="17"/>
        <v>196.5</v>
      </c>
      <c r="CO35" s="9">
        <f t="shared" si="22"/>
        <v>217</v>
      </c>
      <c r="CQ35" s="9">
        <f t="shared" si="18"/>
        <v>209</v>
      </c>
      <c r="CR35" s="9">
        <f t="shared" si="19"/>
        <v>217</v>
      </c>
    </row>
    <row r="36" spans="1:96" ht="29.25">
      <c r="A36" t="str">
        <f t="shared" si="0"/>
        <v>136</v>
      </c>
      <c r="B36">
        <f t="shared" si="4"/>
        <v>136</v>
      </c>
      <c r="C36" s="15" t="s">
        <v>44</v>
      </c>
      <c r="D36" s="11"/>
      <c r="E36" s="9">
        <f>SUM(36.5375690444701*0.5)</f>
        <v>18.268784522235048</v>
      </c>
      <c r="F36" s="9">
        <v>52.414383561643803</v>
      </c>
      <c r="G36" s="9">
        <v>48.832191780821901</v>
      </c>
      <c r="H36" s="9">
        <v>61.339041095890401</v>
      </c>
      <c r="I36" s="9">
        <v>70.606164383561605</v>
      </c>
      <c r="J36" s="9">
        <v>64.952054794520507</v>
      </c>
      <c r="K36" s="9">
        <v>66.047945205479493</v>
      </c>
      <c r="L36" s="9">
        <v>69.691780821917803</v>
      </c>
      <c r="M36" s="9">
        <v>62.575342465753401</v>
      </c>
      <c r="N36" s="9">
        <v>63.119863013698598</v>
      </c>
      <c r="O36" s="9">
        <v>63.571917808219197</v>
      </c>
      <c r="P36" s="9">
        <v>72.928082191780803</v>
      </c>
      <c r="Q36" s="9">
        <v>60.397260273972599</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9">
        <v>0</v>
      </c>
      <c r="AS36" s="9">
        <v>0</v>
      </c>
      <c r="AT36" s="9">
        <v>0</v>
      </c>
      <c r="AU36" s="9">
        <v>0</v>
      </c>
      <c r="AV36" s="9">
        <v>0</v>
      </c>
      <c r="AW36" s="9">
        <v>0</v>
      </c>
      <c r="AX36" s="9">
        <f t="shared" si="5"/>
        <v>813.48205251546995</v>
      </c>
      <c r="AY36" s="9">
        <f t="shared" si="6"/>
        <v>189.89712100862073</v>
      </c>
      <c r="AZ36" s="9">
        <f t="shared" si="7"/>
        <v>273.01797945205476</v>
      </c>
      <c r="BA36" s="9">
        <f t="shared" si="8"/>
        <v>401.58359361136041</v>
      </c>
      <c r="BB36" s="9">
        <f t="shared" si="9"/>
        <v>411.89845890410959</v>
      </c>
      <c r="BC36" s="20"/>
      <c r="BD36" s="9">
        <v>383</v>
      </c>
      <c r="BF36" s="9">
        <v>341</v>
      </c>
      <c r="BH36" s="9">
        <v>75</v>
      </c>
      <c r="BI36" s="9">
        <f t="shared" si="10"/>
        <v>75</v>
      </c>
      <c r="BJ36" s="9">
        <f t="shared" si="11"/>
        <v>774.74481191949519</v>
      </c>
      <c r="BK36" s="12">
        <f t="shared" ref="BK36:BK67" si="23">IFERROR(BH36*1,SUM(E36:Q36)*$BJ$179)</f>
        <v>75</v>
      </c>
      <c r="BP36" s="9">
        <v>77</v>
      </c>
      <c r="BQ36" s="9">
        <f t="shared" si="12"/>
        <v>77</v>
      </c>
      <c r="BR36" s="12">
        <f t="shared" si="13"/>
        <v>774.74481191949519</v>
      </c>
      <c r="BS36" s="23">
        <f t="shared" ref="BS36:BS67" si="24">IFERROR(BP36*1,SUM(E36:Q36)*$BR$179)</f>
        <v>77</v>
      </c>
      <c r="BU36" s="9">
        <v>0</v>
      </c>
      <c r="BW36" s="9">
        <v>8</v>
      </c>
      <c r="BX36" s="9">
        <v>56</v>
      </c>
      <c r="BY36" s="9">
        <v>45</v>
      </c>
      <c r="BZ36" s="9">
        <v>54</v>
      </c>
      <c r="CA36" s="9">
        <v>61</v>
      </c>
      <c r="CB36" s="9">
        <v>60</v>
      </c>
      <c r="CC36" s="9">
        <v>77</v>
      </c>
      <c r="CD36" s="9">
        <v>79</v>
      </c>
      <c r="CE36" s="9">
        <v>74</v>
      </c>
      <c r="CF36" s="9">
        <v>77</v>
      </c>
      <c r="CG36" s="9">
        <v>70</v>
      </c>
      <c r="CH36" s="9">
        <v>72</v>
      </c>
      <c r="CI36" s="9">
        <v>69</v>
      </c>
      <c r="CJ36" s="9">
        <v>71</v>
      </c>
      <c r="CK36" s="12">
        <f t="shared" ref="CK36:CK67" si="25">SUM(BY36,BZ36,CA36,CB36,CC36,CD36,CE36,CF36,CG36,CH36,CI36,CJ36) + (BX36*0.5)</f>
        <v>837</v>
      </c>
      <c r="CL36" s="9">
        <f t="shared" si="15"/>
        <v>188</v>
      </c>
      <c r="CM36" s="9">
        <f t="shared" si="16"/>
        <v>282</v>
      </c>
      <c r="CN36" s="9">
        <f t="shared" si="17"/>
        <v>404</v>
      </c>
      <c r="CO36" s="9">
        <f t="shared" si="22"/>
        <v>433</v>
      </c>
      <c r="CQ36" s="9">
        <f t="shared" si="18"/>
        <v>432</v>
      </c>
      <c r="CR36" s="9">
        <f t="shared" si="19"/>
        <v>433</v>
      </c>
    </row>
    <row r="37" spans="1:96" ht="29.25">
      <c r="A37" t="str">
        <f t="shared" si="0"/>
        <v>137</v>
      </c>
      <c r="B37">
        <f t="shared" si="4"/>
        <v>137</v>
      </c>
      <c r="C37" s="15" t="s">
        <v>45</v>
      </c>
      <c r="D37" s="11"/>
      <c r="E37" s="9">
        <f>SUM(86.9852071005917*0.5)</f>
        <v>43.492603550295847</v>
      </c>
      <c r="F37" s="9">
        <v>71.5976331360947</v>
      </c>
      <c r="G37" s="9">
        <v>78.686390532544394</v>
      </c>
      <c r="H37" s="9">
        <v>76.884615384615401</v>
      </c>
      <c r="I37" s="9">
        <v>83.763313609467502</v>
      </c>
      <c r="J37" s="9">
        <v>95.630177514792905</v>
      </c>
      <c r="K37" s="9">
        <v>80.366863905325403</v>
      </c>
      <c r="L37" s="9">
        <v>79.541420118343197</v>
      </c>
      <c r="M37" s="9">
        <v>79.035502958579897</v>
      </c>
      <c r="N37" s="9">
        <v>83.786982248520701</v>
      </c>
      <c r="O37" s="9">
        <v>96.647928994082804</v>
      </c>
      <c r="P37" s="9">
        <v>79.328402366863898</v>
      </c>
      <c r="Q37" s="9">
        <v>69.571005917159795</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f t="shared" si="5"/>
        <v>1069.249482248521</v>
      </c>
      <c r="AY37" s="9">
        <f t="shared" si="6"/>
        <v>284.1943047337279</v>
      </c>
      <c r="AZ37" s="9">
        <f t="shared" si="7"/>
        <v>345.80103550295854</v>
      </c>
      <c r="BA37" s="9">
        <f t="shared" si="8"/>
        <v>556.9426775147931</v>
      </c>
      <c r="BB37" s="9">
        <f t="shared" si="9"/>
        <v>512.30680473372774</v>
      </c>
      <c r="BC37" s="20"/>
      <c r="BD37" s="9">
        <v>630</v>
      </c>
      <c r="BF37" s="9">
        <v>557</v>
      </c>
      <c r="BH37" s="9">
        <v>119</v>
      </c>
      <c r="BI37" s="9">
        <f t="shared" si="10"/>
        <v>119</v>
      </c>
      <c r="BJ37" s="9">
        <f t="shared" si="11"/>
        <v>1018.3328402366866</v>
      </c>
      <c r="BK37" s="12">
        <f t="shared" si="23"/>
        <v>119</v>
      </c>
      <c r="BP37" s="9">
        <v>120</v>
      </c>
      <c r="BQ37" s="9">
        <f t="shared" si="12"/>
        <v>120</v>
      </c>
      <c r="BR37" s="12">
        <f t="shared" si="13"/>
        <v>1018.3328402366866</v>
      </c>
      <c r="BS37" s="23">
        <f t="shared" si="24"/>
        <v>120</v>
      </c>
      <c r="BU37" s="9">
        <v>38</v>
      </c>
      <c r="BW37" s="9">
        <v>2</v>
      </c>
      <c r="BX37" s="9">
        <v>82</v>
      </c>
      <c r="BY37" s="9">
        <v>80</v>
      </c>
      <c r="BZ37" s="9">
        <v>70</v>
      </c>
      <c r="CA37" s="9">
        <v>76</v>
      </c>
      <c r="CB37" s="9">
        <v>76</v>
      </c>
      <c r="CC37" s="9">
        <v>86</v>
      </c>
      <c r="CD37" s="9">
        <v>97</v>
      </c>
      <c r="CE37" s="9">
        <v>89</v>
      </c>
      <c r="CF37" s="9">
        <v>84</v>
      </c>
      <c r="CG37" s="9">
        <v>77</v>
      </c>
      <c r="CH37" s="9">
        <v>88</v>
      </c>
      <c r="CI37" s="9">
        <v>97</v>
      </c>
      <c r="CJ37" s="9">
        <v>70</v>
      </c>
      <c r="CK37" s="12">
        <f t="shared" si="25"/>
        <v>1031</v>
      </c>
      <c r="CL37" s="9">
        <f t="shared" si="15"/>
        <v>267</v>
      </c>
      <c r="CM37" s="9">
        <f t="shared" si="16"/>
        <v>332</v>
      </c>
      <c r="CN37" s="9">
        <f t="shared" si="17"/>
        <v>526</v>
      </c>
      <c r="CO37" s="9">
        <f t="shared" si="22"/>
        <v>505</v>
      </c>
      <c r="CQ37" s="9">
        <f t="shared" si="18"/>
        <v>567</v>
      </c>
      <c r="CR37" s="9">
        <f t="shared" si="19"/>
        <v>505</v>
      </c>
    </row>
    <row r="38" spans="1:96" ht="29.25">
      <c r="A38" t="str">
        <f t="shared" si="0"/>
        <v>139</v>
      </c>
      <c r="B38">
        <f t="shared" si="4"/>
        <v>139</v>
      </c>
      <c r="C38" s="15" t="s">
        <v>46</v>
      </c>
      <c r="D38" s="11"/>
      <c r="E38" s="9">
        <f>SUM(568.316313605954*0.5)</f>
        <v>284.15815680297698</v>
      </c>
      <c r="F38" s="9">
        <v>629.98224852070996</v>
      </c>
      <c r="G38" s="9">
        <v>628.83431952662704</v>
      </c>
      <c r="H38" s="9">
        <v>649.84615384615404</v>
      </c>
      <c r="I38" s="9">
        <v>705.40236686390494</v>
      </c>
      <c r="J38" s="9">
        <v>706.53254437869805</v>
      </c>
      <c r="K38" s="9">
        <v>656.98520710059199</v>
      </c>
      <c r="L38" s="9">
        <v>615.33136094674603</v>
      </c>
      <c r="M38" s="9">
        <v>598.60946745562103</v>
      </c>
      <c r="N38" s="9">
        <v>633.53533428392598</v>
      </c>
      <c r="O38" s="9">
        <v>584.95294117647097</v>
      </c>
      <c r="P38" s="9">
        <v>469.96764705882401</v>
      </c>
      <c r="Q38" s="9">
        <v>420.570588235294</v>
      </c>
      <c r="R38" s="9">
        <v>12.2239783529412</v>
      </c>
      <c r="S38" s="9">
        <v>23.659311797211299</v>
      </c>
      <c r="T38" s="9">
        <v>22.953561647058802</v>
      </c>
      <c r="U38" s="9">
        <v>2.6679938686131401</v>
      </c>
      <c r="V38" s="9">
        <v>15.417054303348801</v>
      </c>
      <c r="W38" s="9">
        <v>22.664292120048</v>
      </c>
      <c r="X38" s="9">
        <v>58.464934688894203</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13.777450980392199</v>
      </c>
      <c r="AR38" s="9">
        <v>20.5833333333333</v>
      </c>
      <c r="AS38" s="9">
        <v>28.931372549019599</v>
      </c>
      <c r="AT38" s="9">
        <v>36.356862745097999</v>
      </c>
      <c r="AU38" s="9">
        <v>31.883333333333301</v>
      </c>
      <c r="AV38" s="9">
        <v>33.328431372548998</v>
      </c>
      <c r="AW38" s="9">
        <v>5.8009803921568599</v>
      </c>
      <c r="AX38" s="9">
        <f t="shared" si="5"/>
        <v>8309.092289064567</v>
      </c>
      <c r="AY38" s="9">
        <f t="shared" si="6"/>
        <v>2302.4619226312911</v>
      </c>
      <c r="AZ38" s="9">
        <f t="shared" si="7"/>
        <v>2431.390913257484</v>
      </c>
      <c r="BA38" s="9">
        <f t="shared" si="8"/>
        <v>4502.1295476916457</v>
      </c>
      <c r="BB38" s="9">
        <f t="shared" si="9"/>
        <v>3806.962741372924</v>
      </c>
      <c r="BC38" s="20"/>
      <c r="BD38" s="9">
        <v>5076</v>
      </c>
      <c r="BF38" s="9">
        <v>5098</v>
      </c>
      <c r="BH38" s="9">
        <v>946</v>
      </c>
      <c r="BI38" s="9">
        <f t="shared" si="10"/>
        <v>946</v>
      </c>
      <c r="BJ38" s="9">
        <f t="shared" si="11"/>
        <v>7584.7083361965433</v>
      </c>
      <c r="BK38" s="12">
        <f t="shared" si="23"/>
        <v>946</v>
      </c>
      <c r="BP38" s="9">
        <v>1335</v>
      </c>
      <c r="BQ38" s="9">
        <f t="shared" si="12"/>
        <v>1335</v>
      </c>
      <c r="BR38" s="12">
        <f t="shared" si="13"/>
        <v>7584.7083361965433</v>
      </c>
      <c r="BS38" s="23">
        <f t="shared" si="24"/>
        <v>1335</v>
      </c>
      <c r="BU38" s="9">
        <v>242</v>
      </c>
      <c r="BW38" s="9">
        <v>107</v>
      </c>
      <c r="BX38" s="9">
        <v>675</v>
      </c>
      <c r="BY38" s="9">
        <v>657</v>
      </c>
      <c r="BZ38" s="9">
        <v>703</v>
      </c>
      <c r="CA38" s="9">
        <v>676</v>
      </c>
      <c r="CB38" s="9">
        <v>697</v>
      </c>
      <c r="CC38" s="9">
        <v>757</v>
      </c>
      <c r="CD38" s="9">
        <v>798</v>
      </c>
      <c r="CE38" s="9">
        <v>742</v>
      </c>
      <c r="CF38" s="9">
        <v>703</v>
      </c>
      <c r="CG38" s="9">
        <v>730</v>
      </c>
      <c r="CH38" s="9">
        <v>673</v>
      </c>
      <c r="CI38" s="9">
        <v>625</v>
      </c>
      <c r="CJ38" s="9">
        <v>548</v>
      </c>
      <c r="CK38" s="12">
        <f t="shared" si="25"/>
        <v>8646.5</v>
      </c>
      <c r="CL38" s="9">
        <f t="shared" si="15"/>
        <v>2373.5</v>
      </c>
      <c r="CM38" s="9">
        <f t="shared" si="16"/>
        <v>2576</v>
      </c>
      <c r="CN38" s="9">
        <f t="shared" si="17"/>
        <v>4625.5</v>
      </c>
      <c r="CO38" s="9">
        <f t="shared" si="22"/>
        <v>4021</v>
      </c>
      <c r="CQ38" s="9">
        <f t="shared" si="18"/>
        <v>4963</v>
      </c>
      <c r="CR38" s="9">
        <f t="shared" si="19"/>
        <v>4021</v>
      </c>
    </row>
    <row r="39" spans="1:96" ht="29.25">
      <c r="A39" t="str">
        <f t="shared" si="0"/>
        <v>148</v>
      </c>
      <c r="B39">
        <f t="shared" si="4"/>
        <v>148</v>
      </c>
      <c r="C39" s="15" t="s">
        <v>47</v>
      </c>
      <c r="D39" s="11"/>
      <c r="E39" s="9">
        <f>SUM(32.4275362318841*0.5)</f>
        <v>16.213768115942049</v>
      </c>
      <c r="F39" s="9">
        <v>33.032142857142901</v>
      </c>
      <c r="G39" s="9">
        <v>42.146428571428601</v>
      </c>
      <c r="H39" s="9">
        <v>27.053571428571399</v>
      </c>
      <c r="I39" s="9">
        <v>49.157142857142901</v>
      </c>
      <c r="J39" s="9">
        <v>45.896428571428601</v>
      </c>
      <c r="K39" s="9">
        <v>37.060714285714297</v>
      </c>
      <c r="L39" s="9">
        <v>43.657142857142901</v>
      </c>
      <c r="M39" s="9">
        <v>36.1357142857143</v>
      </c>
      <c r="N39" s="9">
        <v>41.392857142857103</v>
      </c>
      <c r="O39" s="9">
        <v>37.310714285714297</v>
      </c>
      <c r="P39" s="9">
        <v>27.860714285714302</v>
      </c>
      <c r="Q39" s="9">
        <v>35.078571428571401</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9">
        <v>0</v>
      </c>
      <c r="AS39" s="9">
        <v>0</v>
      </c>
      <c r="AT39" s="9">
        <v>0</v>
      </c>
      <c r="AU39" s="9">
        <v>0</v>
      </c>
      <c r="AV39" s="9">
        <v>0</v>
      </c>
      <c r="AW39" s="9">
        <v>0</v>
      </c>
      <c r="AX39" s="9">
        <f t="shared" si="5"/>
        <v>495.59570652173943</v>
      </c>
      <c r="AY39" s="9">
        <f t="shared" si="6"/>
        <v>124.3682065217392</v>
      </c>
      <c r="AZ39" s="9">
        <f t="shared" si="7"/>
        <v>148.72499999999994</v>
      </c>
      <c r="BA39" s="9">
        <f t="shared" si="8"/>
        <v>263.08820652173932</v>
      </c>
      <c r="BB39" s="9">
        <f t="shared" si="9"/>
        <v>232.50750000000005</v>
      </c>
      <c r="BC39" s="20"/>
      <c r="BD39" s="9">
        <v>252</v>
      </c>
      <c r="BF39" s="9">
        <v>223</v>
      </c>
      <c r="BH39" s="9">
        <v>71</v>
      </c>
      <c r="BI39" s="9">
        <f t="shared" si="10"/>
        <v>71</v>
      </c>
      <c r="BJ39" s="9">
        <f t="shared" si="11"/>
        <v>471.99591097308513</v>
      </c>
      <c r="BK39" s="12">
        <f t="shared" si="23"/>
        <v>71</v>
      </c>
      <c r="BP39" s="9" t="s">
        <v>240</v>
      </c>
      <c r="BQ39" s="9" t="str">
        <f t="shared" si="12"/>
        <v/>
      </c>
      <c r="BR39" s="12" t="str">
        <f t="shared" si="13"/>
        <v/>
      </c>
      <c r="BS39" s="23">
        <f t="shared" si="24"/>
        <v>42.39274128674618</v>
      </c>
      <c r="BU39" s="9">
        <v>0</v>
      </c>
      <c r="BW39" s="9">
        <v>12</v>
      </c>
      <c r="BX39" s="9">
        <v>43</v>
      </c>
      <c r="BY39" s="9">
        <v>38</v>
      </c>
      <c r="BZ39" s="9">
        <v>36</v>
      </c>
      <c r="CA39" s="9">
        <v>45</v>
      </c>
      <c r="CB39" s="9">
        <v>29</v>
      </c>
      <c r="CC39" s="9">
        <v>53</v>
      </c>
      <c r="CD39" s="9">
        <v>49</v>
      </c>
      <c r="CE39" s="9">
        <v>39</v>
      </c>
      <c r="CF39" s="9">
        <v>44</v>
      </c>
      <c r="CG39" s="9">
        <v>38</v>
      </c>
      <c r="CH39" s="9">
        <v>42</v>
      </c>
      <c r="CI39" s="9">
        <v>41</v>
      </c>
      <c r="CJ39" s="9">
        <v>27</v>
      </c>
      <c r="CK39" s="12">
        <f t="shared" si="25"/>
        <v>502.5</v>
      </c>
      <c r="CL39" s="9">
        <f t="shared" si="15"/>
        <v>140.5</v>
      </c>
      <c r="CM39" s="9">
        <f t="shared" si="16"/>
        <v>148</v>
      </c>
      <c r="CN39" s="9">
        <f t="shared" si="17"/>
        <v>271.5</v>
      </c>
      <c r="CO39" s="9">
        <f t="shared" si="22"/>
        <v>231</v>
      </c>
      <c r="CQ39" s="9">
        <f t="shared" si="18"/>
        <v>293</v>
      </c>
      <c r="CR39" s="9">
        <f t="shared" si="19"/>
        <v>231</v>
      </c>
    </row>
    <row r="40" spans="1:96" ht="29.25">
      <c r="A40" t="str">
        <f t="shared" si="0"/>
        <v>149</v>
      </c>
      <c r="B40">
        <f t="shared" si="4"/>
        <v>149</v>
      </c>
      <c r="C40" s="15" t="s">
        <v>48</v>
      </c>
      <c r="D40" s="11"/>
      <c r="E40" s="9">
        <f>SUM(10.1034482758621*0.5)</f>
        <v>5.0517241379310498</v>
      </c>
      <c r="F40" s="9">
        <v>8.5416666666666696</v>
      </c>
      <c r="G40" s="9">
        <v>13.5173611111111</v>
      </c>
      <c r="H40" s="9">
        <v>7.8090277777777803</v>
      </c>
      <c r="I40" s="9">
        <v>13.3159722222222</v>
      </c>
      <c r="J40" s="9">
        <v>14.0625</v>
      </c>
      <c r="K40" s="9">
        <v>11.1354166666667</v>
      </c>
      <c r="L40" s="9">
        <v>10.4791666666667</v>
      </c>
      <c r="M40" s="9">
        <v>13.2430555555556</v>
      </c>
      <c r="N40" s="9">
        <v>12.5763888888889</v>
      </c>
      <c r="O40" s="9">
        <v>17.2881944444444</v>
      </c>
      <c r="P40" s="9">
        <v>10.6388888888889</v>
      </c>
      <c r="Q40" s="9">
        <v>11.2743055555556</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AW40" s="9">
        <v>0</v>
      </c>
      <c r="AX40" s="9">
        <f t="shared" si="5"/>
        <v>156.38035201149441</v>
      </c>
      <c r="AY40" s="9">
        <f t="shared" si="6"/>
        <v>36.66576867816093</v>
      </c>
      <c r="AZ40" s="9">
        <f t="shared" si="7"/>
        <v>54.366666666666696</v>
      </c>
      <c r="BA40" s="9">
        <f t="shared" si="8"/>
        <v>77.105352011494276</v>
      </c>
      <c r="BB40" s="9">
        <f t="shared" si="9"/>
        <v>79.275000000000105</v>
      </c>
      <c r="BC40" s="20"/>
      <c r="BD40" s="9">
        <v>60</v>
      </c>
      <c r="BF40" s="9">
        <v>72</v>
      </c>
      <c r="BH40" s="9">
        <v>33</v>
      </c>
      <c r="BI40" s="9">
        <f t="shared" si="10"/>
        <v>33</v>
      </c>
      <c r="BJ40" s="9">
        <f t="shared" si="11"/>
        <v>148.93366858237562</v>
      </c>
      <c r="BK40" s="12">
        <f t="shared" si="23"/>
        <v>33</v>
      </c>
      <c r="BP40" s="9">
        <v>0</v>
      </c>
      <c r="BQ40" s="9">
        <f t="shared" si="12"/>
        <v>0</v>
      </c>
      <c r="BR40" s="12">
        <f t="shared" si="13"/>
        <v>148.93366858237562</v>
      </c>
      <c r="BS40" s="23">
        <f t="shared" si="24"/>
        <v>0</v>
      </c>
      <c r="BU40" s="9">
        <v>0</v>
      </c>
      <c r="BW40" s="9">
        <v>8</v>
      </c>
      <c r="BX40" s="9">
        <v>14</v>
      </c>
      <c r="BY40" s="9">
        <v>10</v>
      </c>
      <c r="BZ40" s="9">
        <v>7</v>
      </c>
      <c r="CA40" s="9">
        <v>13</v>
      </c>
      <c r="CB40" s="9">
        <v>9</v>
      </c>
      <c r="CC40" s="9">
        <v>16</v>
      </c>
      <c r="CD40" s="9">
        <v>14</v>
      </c>
      <c r="CE40" s="9">
        <v>11</v>
      </c>
      <c r="CF40" s="9">
        <v>11</v>
      </c>
      <c r="CG40" s="9">
        <v>15</v>
      </c>
      <c r="CH40" s="9">
        <v>14</v>
      </c>
      <c r="CI40" s="9">
        <v>17</v>
      </c>
      <c r="CJ40" s="9">
        <v>13</v>
      </c>
      <c r="CK40" s="12">
        <f t="shared" si="25"/>
        <v>157</v>
      </c>
      <c r="CL40" s="9">
        <f t="shared" si="15"/>
        <v>37</v>
      </c>
      <c r="CM40" s="9">
        <f t="shared" si="16"/>
        <v>59</v>
      </c>
      <c r="CN40" s="9">
        <f t="shared" si="17"/>
        <v>76</v>
      </c>
      <c r="CO40" s="9">
        <f t="shared" si="22"/>
        <v>100</v>
      </c>
      <c r="CQ40" s="9">
        <f t="shared" si="18"/>
        <v>83</v>
      </c>
      <c r="CR40" s="9">
        <f t="shared" si="19"/>
        <v>81</v>
      </c>
    </row>
    <row r="41" spans="1:96" ht="29.25">
      <c r="A41" t="str">
        <f t="shared" si="0"/>
        <v>150</v>
      </c>
      <c r="B41">
        <f t="shared" si="4"/>
        <v>150</v>
      </c>
      <c r="C41" s="15" t="s">
        <v>49</v>
      </c>
      <c r="D41" s="11"/>
      <c r="E41" s="9">
        <f>SUM(56.8985507246377*0.5)</f>
        <v>28.449275362318851</v>
      </c>
      <c r="F41" s="9">
        <v>66.878571428571405</v>
      </c>
      <c r="G41" s="9">
        <v>62.303571428571402</v>
      </c>
      <c r="H41" s="9">
        <v>61.128571428571398</v>
      </c>
      <c r="I41" s="9">
        <v>70.025000000000006</v>
      </c>
      <c r="J41" s="9">
        <v>53.882142857142902</v>
      </c>
      <c r="K41" s="9">
        <v>49.710714285714303</v>
      </c>
      <c r="L41" s="9">
        <v>70.349999999999994</v>
      </c>
      <c r="M41" s="9">
        <v>58.285714285714299</v>
      </c>
      <c r="N41" s="9">
        <v>72.258865248226996</v>
      </c>
      <c r="O41" s="9">
        <v>58.843971631205697</v>
      </c>
      <c r="P41" s="9">
        <v>54.921985815602802</v>
      </c>
      <c r="Q41" s="9">
        <v>52.404255319148902</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9">
        <v>0</v>
      </c>
      <c r="AS41" s="9">
        <v>0</v>
      </c>
      <c r="AT41" s="9">
        <v>0</v>
      </c>
      <c r="AU41" s="9">
        <v>0</v>
      </c>
      <c r="AV41" s="9">
        <v>0</v>
      </c>
      <c r="AW41" s="9">
        <v>0</v>
      </c>
      <c r="AX41" s="9">
        <f t="shared" si="5"/>
        <v>797.41477104532851</v>
      </c>
      <c r="AY41" s="9">
        <f t="shared" si="6"/>
        <v>229.69798913043471</v>
      </c>
      <c r="AZ41" s="9">
        <f t="shared" si="7"/>
        <v>250.35053191489359</v>
      </c>
      <c r="BA41" s="9">
        <f t="shared" si="8"/>
        <v>411.99673913043478</v>
      </c>
      <c r="BB41" s="9">
        <f t="shared" si="9"/>
        <v>385.41803191489362</v>
      </c>
      <c r="BC41" s="20"/>
      <c r="BD41" s="9">
        <v>276</v>
      </c>
      <c r="BF41" s="9">
        <v>252</v>
      </c>
      <c r="BH41" s="9">
        <v>97</v>
      </c>
      <c r="BI41" s="9">
        <f t="shared" si="10"/>
        <v>97</v>
      </c>
      <c r="BJ41" s="9">
        <f t="shared" si="11"/>
        <v>759.44263909078904</v>
      </c>
      <c r="BK41" s="12">
        <f t="shared" si="23"/>
        <v>97</v>
      </c>
      <c r="BP41" s="9" t="s">
        <v>240</v>
      </c>
      <c r="BQ41" s="9" t="str">
        <f t="shared" si="12"/>
        <v/>
      </c>
      <c r="BR41" s="12" t="str">
        <f t="shared" si="13"/>
        <v/>
      </c>
      <c r="BS41" s="23">
        <f t="shared" si="24"/>
        <v>68.210030156247328</v>
      </c>
      <c r="BU41" s="9">
        <v>28</v>
      </c>
      <c r="BW41" s="9">
        <v>13</v>
      </c>
      <c r="BX41" s="9">
        <v>76</v>
      </c>
      <c r="BY41" s="9">
        <v>69</v>
      </c>
      <c r="BZ41" s="9">
        <v>78</v>
      </c>
      <c r="CA41" s="9">
        <v>71</v>
      </c>
      <c r="CB41" s="9">
        <v>66</v>
      </c>
      <c r="CC41" s="9">
        <v>79</v>
      </c>
      <c r="CD41" s="9">
        <v>61</v>
      </c>
      <c r="CE41" s="9">
        <v>61</v>
      </c>
      <c r="CF41" s="9">
        <v>69</v>
      </c>
      <c r="CG41" s="9">
        <v>62</v>
      </c>
      <c r="CH41" s="9">
        <v>81</v>
      </c>
      <c r="CI41" s="9">
        <v>60</v>
      </c>
      <c r="CJ41" s="9">
        <v>56</v>
      </c>
      <c r="CK41" s="12">
        <f t="shared" si="25"/>
        <v>851</v>
      </c>
      <c r="CL41" s="9">
        <f t="shared" si="15"/>
        <v>256</v>
      </c>
      <c r="CM41" s="9">
        <f t="shared" si="16"/>
        <v>259</v>
      </c>
      <c r="CN41" s="9">
        <f t="shared" si="17"/>
        <v>462</v>
      </c>
      <c r="CO41" s="9">
        <f t="shared" si="22"/>
        <v>389</v>
      </c>
      <c r="CQ41" s="9">
        <f t="shared" si="18"/>
        <v>500</v>
      </c>
      <c r="CR41" s="9">
        <f t="shared" si="19"/>
        <v>389</v>
      </c>
    </row>
    <row r="42" spans="1:96" ht="29.25">
      <c r="A42" t="str">
        <f t="shared" si="0"/>
        <v>151</v>
      </c>
      <c r="B42">
        <f t="shared" si="4"/>
        <v>151</v>
      </c>
      <c r="C42" s="15" t="s">
        <v>50</v>
      </c>
      <c r="D42" s="11"/>
      <c r="E42" s="9">
        <f>SUM(396.009008367687*0.5)</f>
        <v>198.00450418384349</v>
      </c>
      <c r="F42" s="9">
        <v>383.96175420200399</v>
      </c>
      <c r="G42" s="9">
        <v>394.212640237561</v>
      </c>
      <c r="H42" s="9">
        <v>390.66737122052302</v>
      </c>
      <c r="I42" s="9">
        <v>384.13871009687301</v>
      </c>
      <c r="J42" s="9">
        <v>423.58075054039602</v>
      </c>
      <c r="K42" s="9">
        <v>394.41736299158799</v>
      </c>
      <c r="L42" s="9">
        <v>424.072341752417</v>
      </c>
      <c r="M42" s="9">
        <v>379.953903804243</v>
      </c>
      <c r="N42" s="9">
        <v>376.81320335839001</v>
      </c>
      <c r="O42" s="9">
        <v>357.22900004242803</v>
      </c>
      <c r="P42" s="9">
        <v>320.30029642470799</v>
      </c>
      <c r="Q42" s="9">
        <v>308.98479374742197</v>
      </c>
      <c r="R42" s="9">
        <v>0</v>
      </c>
      <c r="S42" s="9">
        <v>3.7009672762857102</v>
      </c>
      <c r="T42" s="9">
        <v>13.236349672447</v>
      </c>
      <c r="U42" s="9">
        <v>18.699494489402699</v>
      </c>
      <c r="V42" s="9">
        <v>28.721930867051999</v>
      </c>
      <c r="W42" s="9">
        <v>24.611832070303599</v>
      </c>
      <c r="X42" s="9">
        <v>38.639806088632</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21.7009803921569</v>
      </c>
      <c r="AS42" s="9">
        <v>29.553921568627501</v>
      </c>
      <c r="AT42" s="9">
        <v>17.102941176470601</v>
      </c>
      <c r="AU42" s="9">
        <v>26.0343137254902</v>
      </c>
      <c r="AV42" s="9">
        <v>18.634313725490198</v>
      </c>
      <c r="AW42" s="9">
        <v>4.8656862745098</v>
      </c>
      <c r="AX42" s="9">
        <f t="shared" si="5"/>
        <v>5230.9311284257292</v>
      </c>
      <c r="AY42" s="9">
        <f t="shared" si="6"/>
        <v>1435.1885833361282</v>
      </c>
      <c r="AZ42" s="9">
        <f t="shared" si="7"/>
        <v>1617.6694925898141</v>
      </c>
      <c r="BA42" s="9">
        <f t="shared" si="8"/>
        <v>2697.4322481464283</v>
      </c>
      <c r="BB42" s="9">
        <f t="shared" si="9"/>
        <v>2533.4988802792996</v>
      </c>
      <c r="BC42" s="20"/>
      <c r="BD42" s="9">
        <v>2561</v>
      </c>
      <c r="BF42" s="9">
        <v>2582</v>
      </c>
      <c r="BH42" s="9">
        <v>581</v>
      </c>
      <c r="BI42" s="9">
        <f t="shared" si="10"/>
        <v>581</v>
      </c>
      <c r="BJ42" s="9">
        <f t="shared" si="11"/>
        <v>4736.336632602397</v>
      </c>
      <c r="BK42" s="12">
        <f t="shared" si="23"/>
        <v>581</v>
      </c>
      <c r="BP42" s="9">
        <v>860</v>
      </c>
      <c r="BQ42" s="9">
        <f t="shared" si="12"/>
        <v>860</v>
      </c>
      <c r="BR42" s="12">
        <f t="shared" si="13"/>
        <v>4736.336632602397</v>
      </c>
      <c r="BS42" s="23">
        <f t="shared" si="24"/>
        <v>860</v>
      </c>
      <c r="BU42" s="9">
        <v>55</v>
      </c>
      <c r="BW42" s="9">
        <v>60</v>
      </c>
      <c r="BX42" s="9">
        <v>386</v>
      </c>
      <c r="BY42" s="9">
        <v>420</v>
      </c>
      <c r="BZ42" s="9">
        <v>414</v>
      </c>
      <c r="CA42" s="9">
        <v>434</v>
      </c>
      <c r="CB42" s="9">
        <v>411</v>
      </c>
      <c r="CC42" s="9">
        <v>414</v>
      </c>
      <c r="CD42" s="9">
        <v>466</v>
      </c>
      <c r="CE42" s="9">
        <v>442</v>
      </c>
      <c r="CF42" s="9">
        <v>469</v>
      </c>
      <c r="CG42" s="9">
        <v>435</v>
      </c>
      <c r="CH42" s="9">
        <v>410</v>
      </c>
      <c r="CI42" s="9">
        <v>337</v>
      </c>
      <c r="CJ42" s="9">
        <v>371</v>
      </c>
      <c r="CK42" s="12">
        <f t="shared" si="25"/>
        <v>5216</v>
      </c>
      <c r="CL42" s="9">
        <f t="shared" si="15"/>
        <v>1461</v>
      </c>
      <c r="CM42" s="9">
        <f t="shared" si="16"/>
        <v>1553</v>
      </c>
      <c r="CN42" s="9">
        <f t="shared" si="17"/>
        <v>2752</v>
      </c>
      <c r="CO42" s="9">
        <f t="shared" si="22"/>
        <v>2464</v>
      </c>
      <c r="CQ42" s="9">
        <f t="shared" si="18"/>
        <v>2945</v>
      </c>
      <c r="CR42" s="9">
        <f t="shared" si="19"/>
        <v>2464</v>
      </c>
    </row>
    <row r="43" spans="1:96" ht="29.25">
      <c r="A43" t="str">
        <f t="shared" si="0"/>
        <v>161</v>
      </c>
      <c r="B43">
        <f t="shared" si="4"/>
        <v>161</v>
      </c>
      <c r="C43" s="15" t="s">
        <v>51</v>
      </c>
      <c r="D43" s="11"/>
      <c r="E43" s="9">
        <f>SUM(8.36170212765957*0.5)</f>
        <v>4.1808510638297847</v>
      </c>
      <c r="F43" s="9">
        <v>6.5602836879432598</v>
      </c>
      <c r="G43" s="9">
        <v>6.9574468085106398</v>
      </c>
      <c r="H43" s="9">
        <v>9.0567375886524797</v>
      </c>
      <c r="I43" s="9">
        <v>10.563829787234001</v>
      </c>
      <c r="J43" s="9">
        <v>6.1595744680851103</v>
      </c>
      <c r="K43" s="9">
        <v>12.578014184397199</v>
      </c>
      <c r="L43" s="9">
        <v>13.258865248227</v>
      </c>
      <c r="M43" s="9">
        <v>9.5709219858156001</v>
      </c>
      <c r="N43" s="9">
        <v>10.3758865248227</v>
      </c>
      <c r="O43" s="9">
        <v>7.3049645390070896</v>
      </c>
      <c r="P43" s="9">
        <v>8.6170212765957395</v>
      </c>
      <c r="Q43" s="9">
        <v>13.5035971223022</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0</v>
      </c>
      <c r="AT43" s="9">
        <v>0</v>
      </c>
      <c r="AU43" s="9">
        <v>0</v>
      </c>
      <c r="AV43" s="9">
        <v>0</v>
      </c>
      <c r="AW43" s="9">
        <v>0</v>
      </c>
      <c r="AX43" s="9">
        <f t="shared" si="5"/>
        <v>124.62239399969395</v>
      </c>
      <c r="AY43" s="9">
        <f t="shared" si="6"/>
        <v>28.093085106382976</v>
      </c>
      <c r="AZ43" s="9">
        <f t="shared" si="7"/>
        <v>41.791542935864122</v>
      </c>
      <c r="BA43" s="9">
        <f t="shared" si="8"/>
        <v>58.8595744680851</v>
      </c>
      <c r="BB43" s="9">
        <f t="shared" si="9"/>
        <v>65.762819531608841</v>
      </c>
      <c r="BC43" s="20"/>
      <c r="BD43" s="9">
        <v>93</v>
      </c>
      <c r="BF43" s="9">
        <v>90</v>
      </c>
      <c r="BH43" s="9">
        <v>13</v>
      </c>
      <c r="BI43" s="9">
        <f t="shared" si="10"/>
        <v>13</v>
      </c>
      <c r="BJ43" s="9">
        <f t="shared" si="11"/>
        <v>118.6879942854228</v>
      </c>
      <c r="BK43" s="12">
        <f t="shared" si="23"/>
        <v>13</v>
      </c>
      <c r="BP43" s="9">
        <v>28</v>
      </c>
      <c r="BQ43" s="9">
        <f t="shared" si="12"/>
        <v>28</v>
      </c>
      <c r="BR43" s="12">
        <f t="shared" si="13"/>
        <v>118.6879942854228</v>
      </c>
      <c r="BS43" s="23">
        <f t="shared" si="24"/>
        <v>28</v>
      </c>
      <c r="BU43" s="9">
        <v>0</v>
      </c>
      <c r="BW43" s="9">
        <v>0</v>
      </c>
      <c r="BX43" s="9">
        <v>12</v>
      </c>
      <c r="BY43" s="9">
        <v>8</v>
      </c>
      <c r="BZ43" s="9">
        <v>5</v>
      </c>
      <c r="CA43" s="9">
        <v>8</v>
      </c>
      <c r="CB43" s="9">
        <v>9</v>
      </c>
      <c r="CC43" s="9">
        <v>10</v>
      </c>
      <c r="CD43" s="9">
        <v>8</v>
      </c>
      <c r="CE43" s="9">
        <v>14</v>
      </c>
      <c r="CF43" s="9">
        <v>12</v>
      </c>
      <c r="CG43" s="9">
        <v>9</v>
      </c>
      <c r="CH43" s="9">
        <v>10</v>
      </c>
      <c r="CI43" s="9">
        <v>5</v>
      </c>
      <c r="CJ43" s="9">
        <v>12</v>
      </c>
      <c r="CK43" s="12">
        <f t="shared" si="25"/>
        <v>116</v>
      </c>
      <c r="CL43" s="9">
        <f t="shared" si="15"/>
        <v>27</v>
      </c>
      <c r="CM43" s="9">
        <f t="shared" si="16"/>
        <v>36</v>
      </c>
      <c r="CN43" s="9">
        <f t="shared" si="17"/>
        <v>54</v>
      </c>
      <c r="CO43" s="9">
        <f t="shared" si="22"/>
        <v>100</v>
      </c>
      <c r="CQ43" s="9">
        <f t="shared" si="18"/>
        <v>60</v>
      </c>
      <c r="CR43" s="9">
        <f t="shared" si="19"/>
        <v>62</v>
      </c>
    </row>
    <row r="44" spans="1:96" ht="29.25">
      <c r="A44" t="str">
        <f t="shared" si="0"/>
        <v>171</v>
      </c>
      <c r="B44">
        <f t="shared" si="4"/>
        <v>171</v>
      </c>
      <c r="C44" s="15" t="s">
        <v>52</v>
      </c>
      <c r="D44" s="11"/>
      <c r="E44" s="9">
        <f>SUM(65.8869824226284*0.5)</f>
        <v>32.943491211314203</v>
      </c>
      <c r="F44" s="9">
        <v>73.810728520323494</v>
      </c>
      <c r="G44" s="9">
        <v>65.668346689549395</v>
      </c>
      <c r="H44" s="9">
        <v>66.791098525318603</v>
      </c>
      <c r="I44" s="9">
        <v>89.194372529388204</v>
      </c>
      <c r="J44" s="9">
        <v>73.218588734216297</v>
      </c>
      <c r="K44" s="9">
        <v>81.254894564419601</v>
      </c>
      <c r="L44" s="9">
        <v>75.143191610704406</v>
      </c>
      <c r="M44" s="9">
        <v>64.443593163072507</v>
      </c>
      <c r="N44" s="9">
        <v>64.611810086831994</v>
      </c>
      <c r="O44" s="9">
        <v>74.612404423113404</v>
      </c>
      <c r="P44" s="9">
        <v>73.125600605205605</v>
      </c>
      <c r="Q44" s="9">
        <v>52.107136474449803</v>
      </c>
      <c r="R44" s="9">
        <v>0</v>
      </c>
      <c r="S44" s="9">
        <v>0</v>
      </c>
      <c r="T44" s="9">
        <v>0</v>
      </c>
      <c r="U44" s="9">
        <v>3.0012967030522399</v>
      </c>
      <c r="V44" s="9">
        <v>23.452210338492499</v>
      </c>
      <c r="W44" s="9">
        <v>62.7985201579951</v>
      </c>
      <c r="X44" s="9">
        <v>29.867069571491399</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0</v>
      </c>
      <c r="AS44" s="9">
        <v>0</v>
      </c>
      <c r="AT44" s="9">
        <v>0</v>
      </c>
      <c r="AU44" s="9">
        <v>0</v>
      </c>
      <c r="AV44" s="9">
        <v>0</v>
      </c>
      <c r="AW44" s="9">
        <v>0</v>
      </c>
      <c r="AX44" s="9">
        <f t="shared" si="5"/>
        <v>1056.3465716043856</v>
      </c>
      <c r="AY44" s="9">
        <f t="shared" si="6"/>
        <v>251.17434819383101</v>
      </c>
      <c r="AZ44" s="9">
        <f t="shared" si="7"/>
        <v>402.75485077866369</v>
      </c>
      <c r="BA44" s="9">
        <f t="shared" si="8"/>
        <v>507.0255968132563</v>
      </c>
      <c r="BB44" s="9">
        <f t="shared" si="9"/>
        <v>549.32097479112929</v>
      </c>
      <c r="BC44" s="20"/>
      <c r="BD44" s="9">
        <v>674</v>
      </c>
      <c r="BF44" s="9">
        <v>621</v>
      </c>
      <c r="BH44" s="9">
        <v>143</v>
      </c>
      <c r="BI44" s="9">
        <f t="shared" si="10"/>
        <v>143</v>
      </c>
      <c r="BJ44" s="9">
        <f t="shared" si="11"/>
        <v>886.92525713790747</v>
      </c>
      <c r="BK44" s="12">
        <f t="shared" si="23"/>
        <v>143</v>
      </c>
      <c r="BP44" s="9" t="s">
        <v>240</v>
      </c>
      <c r="BQ44" s="9" t="str">
        <f t="shared" si="12"/>
        <v/>
      </c>
      <c r="BR44" s="12" t="str">
        <f t="shared" si="13"/>
        <v/>
      </c>
      <c r="BS44" s="23">
        <f t="shared" si="24"/>
        <v>79.659997242374786</v>
      </c>
      <c r="BU44" s="9">
        <v>3</v>
      </c>
      <c r="BW44" s="9">
        <v>13</v>
      </c>
      <c r="BX44" s="9">
        <v>64</v>
      </c>
      <c r="BY44" s="9">
        <v>75</v>
      </c>
      <c r="BZ44" s="9">
        <v>82</v>
      </c>
      <c r="CA44" s="9">
        <v>67</v>
      </c>
      <c r="CB44" s="9">
        <v>72</v>
      </c>
      <c r="CC44" s="9">
        <v>102</v>
      </c>
      <c r="CD44" s="9">
        <v>84</v>
      </c>
      <c r="CE44" s="9">
        <v>83</v>
      </c>
      <c r="CF44" s="9">
        <v>88</v>
      </c>
      <c r="CG44" s="9">
        <v>83</v>
      </c>
      <c r="CH44" s="9">
        <v>82</v>
      </c>
      <c r="CI44" s="9">
        <v>139</v>
      </c>
      <c r="CJ44" s="9">
        <v>9</v>
      </c>
      <c r="CK44" s="12">
        <f t="shared" si="25"/>
        <v>998</v>
      </c>
      <c r="CL44" s="9">
        <f t="shared" si="15"/>
        <v>256</v>
      </c>
      <c r="CM44" s="9">
        <f t="shared" si="16"/>
        <v>313</v>
      </c>
      <c r="CN44" s="9">
        <f t="shared" si="17"/>
        <v>514</v>
      </c>
      <c r="CO44" s="9">
        <f t="shared" si="22"/>
        <v>484</v>
      </c>
      <c r="CQ44" s="9">
        <f t="shared" si="18"/>
        <v>546</v>
      </c>
      <c r="CR44" s="9">
        <f t="shared" si="19"/>
        <v>484</v>
      </c>
    </row>
    <row r="45" spans="1:96" ht="29.25">
      <c r="A45" t="str">
        <f t="shared" si="0"/>
        <v>181</v>
      </c>
      <c r="B45">
        <f t="shared" si="4"/>
        <v>181</v>
      </c>
      <c r="C45" s="15" t="s">
        <v>53</v>
      </c>
      <c r="D45" s="11"/>
      <c r="E45" s="9">
        <f>SUM(18.2797202797203*0.5)</f>
        <v>9.1398601398601507</v>
      </c>
      <c r="F45" s="9">
        <v>23.062331737482801</v>
      </c>
      <c r="G45" s="9">
        <v>16.190086576372799</v>
      </c>
      <c r="H45" s="9">
        <v>20.1418439716312</v>
      </c>
      <c r="I45" s="9">
        <v>30.911544988863199</v>
      </c>
      <c r="J45" s="9">
        <v>24.9610570640749</v>
      </c>
      <c r="K45" s="9">
        <v>28.379339415481301</v>
      </c>
      <c r="L45" s="9">
        <v>24.896680371716698</v>
      </c>
      <c r="M45" s="9">
        <v>20.463963226523799</v>
      </c>
      <c r="N45" s="9">
        <v>25.929078014184402</v>
      </c>
      <c r="O45" s="9">
        <v>26.709219858156001</v>
      </c>
      <c r="P45" s="9">
        <v>33.0177304964539</v>
      </c>
      <c r="Q45" s="9">
        <v>29.929078014184402</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0</v>
      </c>
      <c r="AS45" s="9">
        <v>0</v>
      </c>
      <c r="AT45" s="9">
        <v>0</v>
      </c>
      <c r="AU45" s="9">
        <v>0</v>
      </c>
      <c r="AV45" s="9">
        <v>0</v>
      </c>
      <c r="AW45" s="9">
        <v>0</v>
      </c>
      <c r="AX45" s="9">
        <f t="shared" si="5"/>
        <v>329.41840456873484</v>
      </c>
      <c r="AY45" s="9">
        <f t="shared" si="6"/>
        <v>71.960828546614295</v>
      </c>
      <c r="AZ45" s="9">
        <f t="shared" si="7"/>
        <v>121.36436170212764</v>
      </c>
      <c r="BA45" s="9">
        <f t="shared" si="8"/>
        <v>160.42536708845466</v>
      </c>
      <c r="BB45" s="9">
        <f t="shared" si="9"/>
        <v>168.99303748028015</v>
      </c>
      <c r="BC45" s="20"/>
      <c r="BD45" s="9">
        <v>145</v>
      </c>
      <c r="BF45" s="9">
        <v>136</v>
      </c>
      <c r="BH45" s="9">
        <v>39</v>
      </c>
      <c r="BI45" s="9">
        <f t="shared" si="10"/>
        <v>39</v>
      </c>
      <c r="BJ45" s="9">
        <f t="shared" si="11"/>
        <v>313.73181387498556</v>
      </c>
      <c r="BK45" s="12">
        <f t="shared" si="23"/>
        <v>39</v>
      </c>
      <c r="BP45" s="9" t="s">
        <v>240</v>
      </c>
      <c r="BQ45" s="9" t="str">
        <f t="shared" si="12"/>
        <v/>
      </c>
      <c r="BR45" s="12" t="str">
        <f t="shared" si="13"/>
        <v/>
      </c>
      <c r="BS45" s="23">
        <f t="shared" si="24"/>
        <v>28.178107712001509</v>
      </c>
      <c r="BU45" s="9">
        <v>28</v>
      </c>
      <c r="BW45" s="9">
        <v>13</v>
      </c>
      <c r="BX45" s="9">
        <v>25</v>
      </c>
      <c r="BY45" s="9">
        <v>20</v>
      </c>
      <c r="BZ45" s="9">
        <v>27</v>
      </c>
      <c r="CA45" s="9">
        <v>19</v>
      </c>
      <c r="CB45" s="9">
        <v>21</v>
      </c>
      <c r="CC45" s="9">
        <v>35</v>
      </c>
      <c r="CD45" s="9">
        <v>28</v>
      </c>
      <c r="CE45" s="9">
        <v>31</v>
      </c>
      <c r="CF45" s="9">
        <v>30</v>
      </c>
      <c r="CG45" s="9">
        <v>21</v>
      </c>
      <c r="CH45" s="9">
        <v>35</v>
      </c>
      <c r="CI45" s="9">
        <v>25</v>
      </c>
      <c r="CJ45" s="9">
        <v>33</v>
      </c>
      <c r="CK45" s="12">
        <f t="shared" si="25"/>
        <v>337.5</v>
      </c>
      <c r="CL45" s="9">
        <f t="shared" si="15"/>
        <v>78.5</v>
      </c>
      <c r="CM45" s="9">
        <f t="shared" si="16"/>
        <v>114</v>
      </c>
      <c r="CN45" s="9">
        <f t="shared" si="17"/>
        <v>162.5</v>
      </c>
      <c r="CO45" s="9">
        <f t="shared" si="22"/>
        <v>175</v>
      </c>
      <c r="CQ45" s="9">
        <f t="shared" si="18"/>
        <v>175</v>
      </c>
      <c r="CR45" s="9">
        <f t="shared" si="19"/>
        <v>175</v>
      </c>
    </row>
    <row r="46" spans="1:96" ht="29.25">
      <c r="A46" t="str">
        <f t="shared" si="0"/>
        <v>182</v>
      </c>
      <c r="B46">
        <f t="shared" si="4"/>
        <v>182</v>
      </c>
      <c r="C46" s="15" t="s">
        <v>54</v>
      </c>
      <c r="D46" s="11"/>
      <c r="E46" s="9">
        <f>SUM(14.9481481481481*0.5)</f>
        <v>7.4740740740740499</v>
      </c>
      <c r="F46" s="9">
        <v>14.6906474820144</v>
      </c>
      <c r="G46" s="9">
        <v>10.482014388489199</v>
      </c>
      <c r="H46" s="9">
        <v>13.863309352518</v>
      </c>
      <c r="I46" s="9">
        <v>21.625899280575499</v>
      </c>
      <c r="J46" s="9">
        <v>19.097122302158301</v>
      </c>
      <c r="K46" s="9">
        <v>17.3920863309353</v>
      </c>
      <c r="L46" s="9">
        <v>16.755395683453202</v>
      </c>
      <c r="M46" s="9">
        <v>15.877697841726601</v>
      </c>
      <c r="N46" s="9">
        <v>20.323741007194201</v>
      </c>
      <c r="O46" s="9">
        <v>12.014388489208599</v>
      </c>
      <c r="P46" s="9">
        <v>12.5539568345324</v>
      </c>
      <c r="Q46" s="9">
        <v>8.3093525179856105</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f t="shared" si="5"/>
        <v>199.98266986410869</v>
      </c>
      <c r="AY46" s="9">
        <f t="shared" si="6"/>
        <v>48.835547561950435</v>
      </c>
      <c r="AZ46" s="9">
        <f t="shared" si="7"/>
        <v>55.861510791366854</v>
      </c>
      <c r="BA46" s="9">
        <f t="shared" si="8"/>
        <v>109.856410871303</v>
      </c>
      <c r="BB46" s="9">
        <f t="shared" si="9"/>
        <v>90.12625899280566</v>
      </c>
      <c r="BC46" s="20"/>
      <c r="BD46" s="9">
        <v>81</v>
      </c>
      <c r="BF46" s="9">
        <v>70</v>
      </c>
      <c r="BH46" s="9">
        <v>15</v>
      </c>
      <c r="BI46" s="9">
        <f t="shared" si="10"/>
        <v>15</v>
      </c>
      <c r="BJ46" s="9">
        <f t="shared" si="11"/>
        <v>190.45968558486541</v>
      </c>
      <c r="BK46" s="12">
        <f t="shared" si="23"/>
        <v>15</v>
      </c>
      <c r="BP46" s="9" t="s">
        <v>240</v>
      </c>
      <c r="BQ46" s="9" t="str">
        <f t="shared" si="12"/>
        <v/>
      </c>
      <c r="BR46" s="12" t="str">
        <f t="shared" si="13"/>
        <v/>
      </c>
      <c r="BS46" s="23">
        <f t="shared" si="24"/>
        <v>17.106309586259602</v>
      </c>
      <c r="BU46" s="9">
        <v>0</v>
      </c>
      <c r="BW46" s="9">
        <v>11</v>
      </c>
      <c r="BX46" s="9">
        <v>26</v>
      </c>
      <c r="BY46" s="9">
        <v>17</v>
      </c>
      <c r="BZ46" s="9">
        <v>13</v>
      </c>
      <c r="CA46" s="9">
        <v>13</v>
      </c>
      <c r="CB46" s="9">
        <v>16</v>
      </c>
      <c r="CC46" s="9">
        <v>23</v>
      </c>
      <c r="CD46" s="9">
        <v>20</v>
      </c>
      <c r="CE46" s="9">
        <v>17</v>
      </c>
      <c r="CF46" s="9">
        <v>18</v>
      </c>
      <c r="CG46" s="9">
        <v>16</v>
      </c>
      <c r="CH46" s="9">
        <v>23</v>
      </c>
      <c r="CI46" s="9">
        <v>11</v>
      </c>
      <c r="CJ46" s="9">
        <v>11</v>
      </c>
      <c r="CK46" s="12">
        <f t="shared" si="25"/>
        <v>211</v>
      </c>
      <c r="CL46" s="9">
        <f t="shared" si="15"/>
        <v>56</v>
      </c>
      <c r="CM46" s="9">
        <f t="shared" si="16"/>
        <v>61</v>
      </c>
      <c r="CN46" s="9">
        <f t="shared" si="17"/>
        <v>115</v>
      </c>
      <c r="CO46" s="9">
        <f t="shared" si="22"/>
        <v>100</v>
      </c>
      <c r="CQ46" s="9">
        <f t="shared" si="18"/>
        <v>128</v>
      </c>
      <c r="CR46" s="9">
        <f t="shared" si="19"/>
        <v>96</v>
      </c>
    </row>
    <row r="47" spans="1:96" ht="29.25">
      <c r="A47" t="str">
        <f t="shared" si="0"/>
        <v>191</v>
      </c>
      <c r="B47">
        <f t="shared" si="4"/>
        <v>191</v>
      </c>
      <c r="C47" s="15" t="s">
        <v>55</v>
      </c>
      <c r="D47" s="11"/>
      <c r="E47" s="9">
        <f>SUM(0*0.5)</f>
        <v>0</v>
      </c>
      <c r="F47" s="9">
        <v>0.88461538461538503</v>
      </c>
      <c r="G47" s="9">
        <v>0</v>
      </c>
      <c r="H47" s="9">
        <v>0</v>
      </c>
      <c r="I47" s="9">
        <v>0.94385964912280695</v>
      </c>
      <c r="J47" s="9">
        <v>0</v>
      </c>
      <c r="K47" s="9">
        <v>0</v>
      </c>
      <c r="L47" s="9">
        <v>0</v>
      </c>
      <c r="M47" s="9">
        <v>1.9065743944636699</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0</v>
      </c>
      <c r="AS47" s="9">
        <v>0</v>
      </c>
      <c r="AT47" s="9">
        <v>0</v>
      </c>
      <c r="AU47" s="9">
        <v>0</v>
      </c>
      <c r="AV47" s="9">
        <v>0</v>
      </c>
      <c r="AW47" s="9">
        <v>0</v>
      </c>
      <c r="AX47" s="9">
        <f t="shared" si="5"/>
        <v>3.921801899611955</v>
      </c>
      <c r="AY47" s="9">
        <f t="shared" si="6"/>
        <v>0.92884615384615432</v>
      </c>
      <c r="AZ47" s="9">
        <f t="shared" si="7"/>
        <v>0</v>
      </c>
      <c r="BA47" s="9">
        <f t="shared" si="8"/>
        <v>1.9198987854251015</v>
      </c>
      <c r="BB47" s="9">
        <f t="shared" si="9"/>
        <v>2.0019031141868537</v>
      </c>
      <c r="BC47" s="20"/>
      <c r="BD47" s="153">
        <v>0.89</v>
      </c>
      <c r="BF47" s="153">
        <v>0.86</v>
      </c>
      <c r="BH47" s="9" t="e">
        <v>#N/A</v>
      </c>
      <c r="BI47" s="9" t="str">
        <f t="shared" si="10"/>
        <v/>
      </c>
      <c r="BJ47" s="9" t="str">
        <f t="shared" si="11"/>
        <v/>
      </c>
      <c r="BK47" s="12">
        <f t="shared" si="23"/>
        <v>0.46338134621106397</v>
      </c>
      <c r="BP47" s="9">
        <v>0</v>
      </c>
      <c r="BQ47" s="9">
        <f t="shared" si="12"/>
        <v>0</v>
      </c>
      <c r="BR47" s="12">
        <f t="shared" si="13"/>
        <v>3.7350494282018616</v>
      </c>
      <c r="BS47" s="23">
        <f t="shared" si="24"/>
        <v>0</v>
      </c>
      <c r="BU47" s="9">
        <v>0</v>
      </c>
      <c r="BW47" s="9">
        <v>0</v>
      </c>
      <c r="BX47" s="9">
        <v>0</v>
      </c>
      <c r="BY47" s="9">
        <v>0</v>
      </c>
      <c r="BZ47" s="9">
        <v>0</v>
      </c>
      <c r="CA47" s="9">
        <v>1</v>
      </c>
      <c r="CB47" s="9">
        <v>0</v>
      </c>
      <c r="CC47" s="9">
        <v>0</v>
      </c>
      <c r="CD47" s="9">
        <v>1</v>
      </c>
      <c r="CE47" s="9">
        <v>0</v>
      </c>
      <c r="CF47" s="9">
        <v>0</v>
      </c>
      <c r="CG47" s="9">
        <v>0</v>
      </c>
      <c r="CH47" s="9">
        <v>0</v>
      </c>
      <c r="CI47" s="9">
        <v>0</v>
      </c>
      <c r="CJ47" s="9">
        <v>0</v>
      </c>
      <c r="CK47" s="12">
        <f t="shared" si="25"/>
        <v>2</v>
      </c>
      <c r="CL47" s="9">
        <f t="shared" si="15"/>
        <v>1</v>
      </c>
      <c r="CM47" s="9">
        <f t="shared" si="16"/>
        <v>0</v>
      </c>
      <c r="CN47" s="9">
        <f t="shared" si="17"/>
        <v>2</v>
      </c>
      <c r="CO47" s="207">
        <f t="shared" si="20"/>
        <v>0</v>
      </c>
      <c r="CQ47" s="9">
        <f t="shared" si="18"/>
        <v>2</v>
      </c>
      <c r="CR47" s="9">
        <f t="shared" si="19"/>
        <v>0</v>
      </c>
    </row>
    <row r="48" spans="1:96" ht="29.25">
      <c r="A48" t="str">
        <f t="shared" si="0"/>
        <v>192</v>
      </c>
      <c r="B48">
        <f t="shared" si="4"/>
        <v>192</v>
      </c>
      <c r="C48" s="15" t="s">
        <v>56</v>
      </c>
      <c r="D48" s="11"/>
      <c r="E48" s="9">
        <f>SUM(22.9*0.5)</f>
        <v>11.45</v>
      </c>
      <c r="F48" s="9">
        <v>25.446666666666701</v>
      </c>
      <c r="G48" s="9">
        <v>24.706666666666699</v>
      </c>
      <c r="H48" s="9">
        <v>35.546666666666702</v>
      </c>
      <c r="I48" s="9">
        <v>29.553333333333299</v>
      </c>
      <c r="J48" s="9">
        <v>35.549999999999997</v>
      </c>
      <c r="K48" s="9">
        <v>31.136363636363601</v>
      </c>
      <c r="L48" s="9">
        <v>34.120129870129901</v>
      </c>
      <c r="M48" s="9">
        <v>34.883116883116898</v>
      </c>
      <c r="N48" s="9">
        <v>26.086666666666702</v>
      </c>
      <c r="O48" s="9">
        <v>34.196666666666701</v>
      </c>
      <c r="P48" s="9">
        <v>24.7633333333333</v>
      </c>
      <c r="Q48" s="9">
        <v>28.783333333333299</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f t="shared" si="5"/>
        <v>395.03409090909099</v>
      </c>
      <c r="AY48" s="9">
        <f t="shared" si="6"/>
        <v>102.00750000000012</v>
      </c>
      <c r="AZ48" s="9">
        <f t="shared" si="7"/>
        <v>119.52150000000002</v>
      </c>
      <c r="BA48" s="9">
        <f t="shared" si="8"/>
        <v>203.05918181818186</v>
      </c>
      <c r="BB48" s="9">
        <f t="shared" si="9"/>
        <v>191.97490909090916</v>
      </c>
      <c r="BC48" s="20"/>
      <c r="BD48" s="9">
        <v>299</v>
      </c>
      <c r="BF48" s="9">
        <v>257</v>
      </c>
      <c r="BH48" s="9">
        <v>68</v>
      </c>
      <c r="BI48" s="9">
        <f t="shared" si="10"/>
        <v>68</v>
      </c>
      <c r="BJ48" s="9">
        <f t="shared" si="11"/>
        <v>376.2229437229438</v>
      </c>
      <c r="BK48" s="12">
        <f t="shared" si="23"/>
        <v>68</v>
      </c>
      <c r="BP48" s="9">
        <v>79</v>
      </c>
      <c r="BQ48" s="9">
        <f t="shared" si="12"/>
        <v>79</v>
      </c>
      <c r="BR48" s="12">
        <f t="shared" si="13"/>
        <v>376.2229437229438</v>
      </c>
      <c r="BS48" s="23">
        <f t="shared" si="24"/>
        <v>79</v>
      </c>
      <c r="BU48" s="9">
        <v>3</v>
      </c>
      <c r="BW48" s="9">
        <v>22</v>
      </c>
      <c r="BX48" s="9">
        <v>29</v>
      </c>
      <c r="BY48" s="9">
        <v>22</v>
      </c>
      <c r="BZ48" s="9">
        <v>29</v>
      </c>
      <c r="CA48" s="9">
        <v>27</v>
      </c>
      <c r="CB48" s="9">
        <v>38</v>
      </c>
      <c r="CC48" s="9">
        <v>35</v>
      </c>
      <c r="CD48" s="9">
        <v>34</v>
      </c>
      <c r="CE48" s="9">
        <v>32</v>
      </c>
      <c r="CF48" s="9">
        <v>29</v>
      </c>
      <c r="CG48" s="9">
        <v>37</v>
      </c>
      <c r="CH48" s="9">
        <v>30</v>
      </c>
      <c r="CI48" s="9">
        <v>30</v>
      </c>
      <c r="CJ48" s="9">
        <v>26</v>
      </c>
      <c r="CK48" s="12">
        <f t="shared" si="25"/>
        <v>383.5</v>
      </c>
      <c r="CL48" s="9">
        <f t="shared" si="15"/>
        <v>92.5</v>
      </c>
      <c r="CM48" s="9">
        <f t="shared" si="16"/>
        <v>123</v>
      </c>
      <c r="CN48" s="9">
        <f t="shared" si="17"/>
        <v>199.5</v>
      </c>
      <c r="CO48" s="9">
        <f t="shared" ref="CO48:CO79" si="26">MAX($D$181,(SUM(CE48:CJ48)))</f>
        <v>184</v>
      </c>
      <c r="CQ48" s="9">
        <f t="shared" si="18"/>
        <v>214</v>
      </c>
      <c r="CR48" s="9">
        <f t="shared" si="19"/>
        <v>184</v>
      </c>
    </row>
    <row r="49" spans="1:96" ht="29.25">
      <c r="A49" t="str">
        <f t="shared" si="0"/>
        <v>193</v>
      </c>
      <c r="B49">
        <f t="shared" si="4"/>
        <v>193</v>
      </c>
      <c r="C49" s="15" t="s">
        <v>57</v>
      </c>
      <c r="D49" s="11"/>
      <c r="E49" s="9">
        <f>SUM(279.466250708541*0.5)</f>
        <v>139.7331253542705</v>
      </c>
      <c r="F49" s="9">
        <v>321.03705014982899</v>
      </c>
      <c r="G49" s="9">
        <v>292.20616703781297</v>
      </c>
      <c r="H49" s="9">
        <v>318.28750170188601</v>
      </c>
      <c r="I49" s="9">
        <v>305.52637781185399</v>
      </c>
      <c r="J49" s="9">
        <v>283.96802325581399</v>
      </c>
      <c r="K49" s="9">
        <v>262.42441860465101</v>
      </c>
      <c r="L49" s="9">
        <v>299.38081395348797</v>
      </c>
      <c r="M49" s="9">
        <v>270.08430232558101</v>
      </c>
      <c r="N49" s="9">
        <v>243.73976608187101</v>
      </c>
      <c r="O49" s="9">
        <v>228.47368421052599</v>
      </c>
      <c r="P49" s="9">
        <v>209.07558139534899</v>
      </c>
      <c r="Q49" s="9">
        <v>190.78197674418601</v>
      </c>
      <c r="R49" s="9">
        <v>0</v>
      </c>
      <c r="S49" s="9">
        <v>4.2755286227544902</v>
      </c>
      <c r="T49" s="9">
        <v>4.8708686503915297</v>
      </c>
      <c r="U49" s="9">
        <v>11.153439746715501</v>
      </c>
      <c r="V49" s="9">
        <v>10.986138682634699</v>
      </c>
      <c r="W49" s="9">
        <v>17.748754491018001</v>
      </c>
      <c r="X49" s="9">
        <v>32.954354491018002</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0.67058823529411804</v>
      </c>
      <c r="AS49" s="9">
        <v>1.1647058823529399</v>
      </c>
      <c r="AT49" s="9">
        <v>3.7411764705882402</v>
      </c>
      <c r="AU49" s="9">
        <v>7.9294117647058799</v>
      </c>
      <c r="AV49" s="9">
        <v>5.9529411764705902</v>
      </c>
      <c r="AW49" s="9">
        <v>0</v>
      </c>
      <c r="AX49" s="9">
        <f t="shared" si="5"/>
        <v>3639.475031683115</v>
      </c>
      <c r="AY49" s="9">
        <f t="shared" si="6"/>
        <v>1124.8270364559885</v>
      </c>
      <c r="AZ49" s="9">
        <f t="shared" si="7"/>
        <v>1010.6640865178371</v>
      </c>
      <c r="BA49" s="9">
        <f t="shared" si="8"/>
        <v>2019.3417971119234</v>
      </c>
      <c r="BB49" s="9">
        <f t="shared" si="9"/>
        <v>1620.1332345711924</v>
      </c>
      <c r="BC49" s="20"/>
      <c r="BD49" s="9">
        <v>1919</v>
      </c>
      <c r="BF49" s="9">
        <v>1740</v>
      </c>
      <c r="BH49" s="9">
        <v>447</v>
      </c>
      <c r="BI49" s="9">
        <f t="shared" si="10"/>
        <v>447</v>
      </c>
      <c r="BJ49" s="9">
        <f t="shared" ref="BJ49:BJ112" si="27">IFERROR(IF(BH49&gt;0,SUM(E49:Q49),""),"")</f>
        <v>3364.7187886271186</v>
      </c>
      <c r="BK49" s="12">
        <f t="shared" si="23"/>
        <v>447</v>
      </c>
      <c r="BP49" s="9">
        <v>280</v>
      </c>
      <c r="BQ49" s="9">
        <f t="shared" si="12"/>
        <v>280</v>
      </c>
      <c r="BR49" s="12">
        <f t="shared" si="13"/>
        <v>3364.7187886271186</v>
      </c>
      <c r="BS49" s="23">
        <f t="shared" si="24"/>
        <v>280</v>
      </c>
      <c r="BU49" s="9">
        <v>42</v>
      </c>
      <c r="BW49" s="9">
        <v>37</v>
      </c>
      <c r="BX49" s="9">
        <v>281</v>
      </c>
      <c r="BY49" s="9">
        <v>317</v>
      </c>
      <c r="BZ49" s="9">
        <v>327</v>
      </c>
      <c r="CA49" s="9">
        <v>310</v>
      </c>
      <c r="CB49" s="9">
        <v>333</v>
      </c>
      <c r="CC49" s="9">
        <v>323</v>
      </c>
      <c r="CD49" s="9">
        <v>297</v>
      </c>
      <c r="CE49" s="9">
        <v>281</v>
      </c>
      <c r="CF49" s="9">
        <v>342</v>
      </c>
      <c r="CG49" s="9">
        <v>289</v>
      </c>
      <c r="CH49" s="9">
        <v>274</v>
      </c>
      <c r="CI49" s="9">
        <v>265</v>
      </c>
      <c r="CJ49" s="9">
        <v>239</v>
      </c>
      <c r="CK49" s="12">
        <f t="shared" si="25"/>
        <v>3737.5</v>
      </c>
      <c r="CL49" s="9">
        <f t="shared" si="15"/>
        <v>1094.5</v>
      </c>
      <c r="CM49" s="9">
        <f t="shared" si="16"/>
        <v>1067</v>
      </c>
      <c r="CN49" s="9">
        <f t="shared" si="17"/>
        <v>2047.5</v>
      </c>
      <c r="CO49" s="9">
        <f t="shared" si="26"/>
        <v>1690</v>
      </c>
      <c r="CQ49" s="9">
        <f t="shared" si="18"/>
        <v>2188</v>
      </c>
      <c r="CR49" s="9">
        <f t="shared" si="19"/>
        <v>1690</v>
      </c>
    </row>
    <row r="50" spans="1:96" ht="29.25">
      <c r="A50" t="str">
        <f t="shared" si="0"/>
        <v>201</v>
      </c>
      <c r="B50">
        <f t="shared" si="4"/>
        <v>201</v>
      </c>
      <c r="C50" s="15" t="s">
        <v>58</v>
      </c>
      <c r="D50" s="11"/>
      <c r="E50" s="9">
        <f>SUM(140.308566147882*0.5)</f>
        <v>70.154283073941002</v>
      </c>
      <c r="F50" s="9">
        <v>165.07067137809199</v>
      </c>
      <c r="G50" s="9">
        <v>155.32508833922299</v>
      </c>
      <c r="H50" s="9">
        <v>156.64412811387899</v>
      </c>
      <c r="I50" s="9">
        <v>184.27758007117399</v>
      </c>
      <c r="J50" s="9">
        <v>162.88256227758001</v>
      </c>
      <c r="K50" s="9">
        <v>196.753472222222</v>
      </c>
      <c r="L50" s="9">
        <v>178.701388888889</v>
      </c>
      <c r="M50" s="9">
        <v>191.34375</v>
      </c>
      <c r="N50" s="9">
        <v>182.19723183391</v>
      </c>
      <c r="O50" s="9">
        <v>159.128027681661</v>
      </c>
      <c r="P50" s="9">
        <v>143.77854671280301</v>
      </c>
      <c r="Q50" s="9">
        <v>132.85467128027699</v>
      </c>
      <c r="R50" s="9">
        <v>0</v>
      </c>
      <c r="S50" s="9">
        <v>0</v>
      </c>
      <c r="T50" s="9">
        <v>0</v>
      </c>
      <c r="U50" s="9">
        <v>1.0014457831325301</v>
      </c>
      <c r="V50" s="9">
        <v>4.5079720279720297</v>
      </c>
      <c r="W50" s="9">
        <v>8.5700699300699306</v>
      </c>
      <c r="X50" s="9">
        <v>35.806993006992997</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3.9803921568627501</v>
      </c>
      <c r="AR50" s="9">
        <v>4</v>
      </c>
      <c r="AS50" s="9">
        <v>1.1764705882352899</v>
      </c>
      <c r="AT50" s="9">
        <v>4.3333333333333304</v>
      </c>
      <c r="AU50" s="9">
        <v>5.8627450980392197</v>
      </c>
      <c r="AV50" s="9">
        <v>11.292156862745101</v>
      </c>
      <c r="AW50" s="9">
        <v>5.8117647058823501</v>
      </c>
      <c r="AX50" s="9">
        <f t="shared" si="5"/>
        <v>2273.7274826352627</v>
      </c>
      <c r="AY50" s="9">
        <f t="shared" si="6"/>
        <v>574.55387945039183</v>
      </c>
      <c r="AZ50" s="9">
        <f t="shared" si="7"/>
        <v>729.90220616965939</v>
      </c>
      <c r="BA50" s="9">
        <f t="shared" si="8"/>
        <v>1149.8425865146226</v>
      </c>
      <c r="BB50" s="9">
        <f t="shared" si="9"/>
        <v>1123.88489612064</v>
      </c>
      <c r="BC50" s="20"/>
      <c r="BD50" s="9">
        <v>1009</v>
      </c>
      <c r="BF50" s="9">
        <v>935</v>
      </c>
      <c r="BH50" s="9">
        <v>263</v>
      </c>
      <c r="BI50" s="9">
        <f t="shared" si="10"/>
        <v>263</v>
      </c>
      <c r="BJ50" s="9">
        <f t="shared" si="27"/>
        <v>2079.1114018736512</v>
      </c>
      <c r="BK50" s="12">
        <f t="shared" si="23"/>
        <v>263</v>
      </c>
      <c r="BP50" s="9">
        <v>90</v>
      </c>
      <c r="BQ50" s="9">
        <f t="shared" si="12"/>
        <v>90</v>
      </c>
      <c r="BR50" s="12">
        <f t="shared" si="13"/>
        <v>2079.1114018736512</v>
      </c>
      <c r="BS50" s="23">
        <f t="shared" si="24"/>
        <v>90</v>
      </c>
      <c r="BU50" s="9">
        <v>183</v>
      </c>
      <c r="BW50" s="9">
        <v>10</v>
      </c>
      <c r="BX50" s="9">
        <v>158</v>
      </c>
      <c r="BY50" s="9">
        <v>154</v>
      </c>
      <c r="BZ50" s="9">
        <v>170</v>
      </c>
      <c r="CA50" s="9">
        <v>160</v>
      </c>
      <c r="CB50" s="9">
        <v>182</v>
      </c>
      <c r="CC50" s="9">
        <v>189</v>
      </c>
      <c r="CD50" s="9">
        <v>170</v>
      </c>
      <c r="CE50" s="9">
        <v>206</v>
      </c>
      <c r="CF50" s="9">
        <v>202</v>
      </c>
      <c r="CG50" s="9">
        <v>211</v>
      </c>
      <c r="CH50" s="9">
        <v>172</v>
      </c>
      <c r="CI50" s="9">
        <v>181</v>
      </c>
      <c r="CJ50" s="9">
        <v>170</v>
      </c>
      <c r="CK50" s="12">
        <f t="shared" si="25"/>
        <v>2246</v>
      </c>
      <c r="CL50" s="9">
        <f t="shared" si="15"/>
        <v>563</v>
      </c>
      <c r="CM50" s="9">
        <f t="shared" si="16"/>
        <v>734</v>
      </c>
      <c r="CN50" s="9">
        <f t="shared" si="17"/>
        <v>1104</v>
      </c>
      <c r="CO50" s="9">
        <f t="shared" si="26"/>
        <v>1142</v>
      </c>
      <c r="CQ50" s="9">
        <f t="shared" si="18"/>
        <v>1183</v>
      </c>
      <c r="CR50" s="9">
        <f t="shared" si="19"/>
        <v>1142</v>
      </c>
    </row>
    <row r="51" spans="1:96" ht="29.25">
      <c r="A51" t="str">
        <f t="shared" si="0"/>
        <v>202</v>
      </c>
      <c r="B51">
        <f t="shared" si="4"/>
        <v>202</v>
      </c>
      <c r="C51" s="15" t="s">
        <v>59</v>
      </c>
      <c r="D51" s="11"/>
      <c r="E51" s="9">
        <f>SUM(54.2429378531073*0.5)</f>
        <v>27.12146892655365</v>
      </c>
      <c r="F51" s="9">
        <v>49.545197740112997</v>
      </c>
      <c r="G51" s="9">
        <v>54.169491525423702</v>
      </c>
      <c r="H51" s="9">
        <v>54.892655367231598</v>
      </c>
      <c r="I51" s="9">
        <v>63.203389830508499</v>
      </c>
      <c r="J51" s="9">
        <v>47.144067796610202</v>
      </c>
      <c r="K51" s="9">
        <v>63.440677966101703</v>
      </c>
      <c r="L51" s="9">
        <v>61.590395480226</v>
      </c>
      <c r="M51" s="9">
        <v>60.494350282485897</v>
      </c>
      <c r="N51" s="9">
        <v>58.327683615819197</v>
      </c>
      <c r="O51" s="9">
        <v>28.463276836158201</v>
      </c>
      <c r="P51" s="9">
        <v>32.262711864406803</v>
      </c>
      <c r="Q51" s="9">
        <v>32.844632768361599</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f t="shared" si="5"/>
        <v>665.17500000000018</v>
      </c>
      <c r="AY51" s="9">
        <f t="shared" si="6"/>
        <v>195.01525423728808</v>
      </c>
      <c r="AZ51" s="9">
        <f t="shared" si="7"/>
        <v>159.49322033898309</v>
      </c>
      <c r="BA51" s="9">
        <f t="shared" si="8"/>
        <v>377.49279661016953</v>
      </c>
      <c r="BB51" s="9">
        <f t="shared" si="9"/>
        <v>287.68220338983059</v>
      </c>
      <c r="BC51" s="20"/>
      <c r="BD51" s="9">
        <v>359</v>
      </c>
      <c r="BF51" s="9">
        <v>351</v>
      </c>
      <c r="BH51" s="9">
        <v>45</v>
      </c>
      <c r="BI51" s="9">
        <f t="shared" si="10"/>
        <v>45</v>
      </c>
      <c r="BJ51" s="9">
        <f t="shared" si="27"/>
        <v>633.50000000000011</v>
      </c>
      <c r="BK51" s="12">
        <f t="shared" si="23"/>
        <v>45</v>
      </c>
      <c r="BP51" s="9" t="s">
        <v>240</v>
      </c>
      <c r="BQ51" s="9" t="str">
        <f t="shared" si="12"/>
        <v/>
      </c>
      <c r="BR51" s="12" t="str">
        <f t="shared" si="13"/>
        <v/>
      </c>
      <c r="BS51" s="23">
        <f t="shared" si="24"/>
        <v>56.898377678286963</v>
      </c>
      <c r="BU51" s="9">
        <v>78</v>
      </c>
      <c r="BW51" s="9">
        <v>5</v>
      </c>
      <c r="BX51" s="9">
        <v>58</v>
      </c>
      <c r="BY51" s="9">
        <v>61</v>
      </c>
      <c r="BZ51" s="9">
        <v>61</v>
      </c>
      <c r="CA51" s="9">
        <v>61</v>
      </c>
      <c r="CB51" s="9">
        <v>60</v>
      </c>
      <c r="CC51" s="9">
        <v>74</v>
      </c>
      <c r="CD51" s="9">
        <v>54</v>
      </c>
      <c r="CE51" s="9">
        <v>73</v>
      </c>
      <c r="CF51" s="9">
        <v>67</v>
      </c>
      <c r="CG51" s="9">
        <v>66</v>
      </c>
      <c r="CH51" s="9">
        <v>44</v>
      </c>
      <c r="CI51" s="9">
        <v>33</v>
      </c>
      <c r="CJ51" s="9">
        <v>38</v>
      </c>
      <c r="CK51" s="12">
        <f t="shared" si="25"/>
        <v>721</v>
      </c>
      <c r="CL51" s="9">
        <f t="shared" si="15"/>
        <v>212</v>
      </c>
      <c r="CM51" s="9">
        <f t="shared" si="16"/>
        <v>181</v>
      </c>
      <c r="CN51" s="9">
        <f t="shared" si="17"/>
        <v>400</v>
      </c>
      <c r="CO51" s="9">
        <f t="shared" si="26"/>
        <v>321</v>
      </c>
      <c r="CQ51" s="9">
        <f t="shared" si="18"/>
        <v>429</v>
      </c>
      <c r="CR51" s="9">
        <f t="shared" si="19"/>
        <v>321</v>
      </c>
    </row>
    <row r="52" spans="1:96" ht="29.25">
      <c r="A52" t="str">
        <f t="shared" si="0"/>
        <v>215</v>
      </c>
      <c r="B52">
        <f t="shared" si="4"/>
        <v>215</v>
      </c>
      <c r="C52" s="15" t="s">
        <v>60</v>
      </c>
      <c r="D52" s="11"/>
      <c r="E52" s="9">
        <f>SUM(157.514183231093*0.5)</f>
        <v>78.7570916155465</v>
      </c>
      <c r="F52" s="9">
        <v>138.19623742037601</v>
      </c>
      <c r="G52" s="9">
        <v>150.34730200250999</v>
      </c>
      <c r="H52" s="9">
        <v>141.74422714420399</v>
      </c>
      <c r="I52" s="9">
        <v>175.05972029570799</v>
      </c>
      <c r="J52" s="9">
        <v>184.21049530178101</v>
      </c>
      <c r="K52" s="9">
        <v>155.80431798180601</v>
      </c>
      <c r="L52" s="9">
        <v>168.89057027158299</v>
      </c>
      <c r="M52" s="9">
        <v>169.15686386561899</v>
      </c>
      <c r="N52" s="9">
        <v>149.31137137164299</v>
      </c>
      <c r="O52" s="9">
        <v>146.97171605605499</v>
      </c>
      <c r="P52" s="9">
        <v>163.106971143225</v>
      </c>
      <c r="Q52" s="9">
        <v>108.833243308992</v>
      </c>
      <c r="R52" s="9">
        <v>0</v>
      </c>
      <c r="S52" s="9">
        <v>0</v>
      </c>
      <c r="T52" s="9">
        <v>0</v>
      </c>
      <c r="U52" s="9">
        <v>0</v>
      </c>
      <c r="V52" s="9">
        <v>0</v>
      </c>
      <c r="W52" s="9">
        <v>0</v>
      </c>
      <c r="X52" s="9">
        <v>0</v>
      </c>
      <c r="Y52" s="9">
        <v>0</v>
      </c>
      <c r="Z52" s="9">
        <v>0</v>
      </c>
      <c r="AA52" s="9">
        <v>0.2</v>
      </c>
      <c r="AB52" s="9">
        <v>0.434782608695652</v>
      </c>
      <c r="AC52" s="9">
        <v>1.01621621621622</v>
      </c>
      <c r="AD52" s="9">
        <v>3.3589743589743599</v>
      </c>
      <c r="AE52" s="9">
        <v>0.97142857142857097</v>
      </c>
      <c r="AF52" s="9">
        <v>3.6717948717948699</v>
      </c>
      <c r="AG52" s="9">
        <v>3.02051282051282</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f t="shared" si="5"/>
        <v>2040.2170290880047</v>
      </c>
      <c r="AY52" s="9">
        <f t="shared" si="6"/>
        <v>534.49710109176829</v>
      </c>
      <c r="AZ52" s="9">
        <f t="shared" si="7"/>
        <v>608.20831312775692</v>
      </c>
      <c r="BA52" s="9">
        <f t="shared" si="8"/>
        <v>1075.5353613500281</v>
      </c>
      <c r="BB52" s="9">
        <f t="shared" si="9"/>
        <v>964.68166773797645</v>
      </c>
      <c r="BC52" s="20"/>
      <c r="BD52" s="9">
        <v>1050</v>
      </c>
      <c r="BF52" s="9">
        <v>1038</v>
      </c>
      <c r="BH52" s="9">
        <v>212</v>
      </c>
      <c r="BI52" s="9">
        <f t="shared" si="10"/>
        <v>212</v>
      </c>
      <c r="BJ52" s="9">
        <f t="shared" si="27"/>
        <v>1930.3901277790485</v>
      </c>
      <c r="BK52" s="12">
        <f t="shared" si="23"/>
        <v>212</v>
      </c>
      <c r="BP52" s="9">
        <v>263</v>
      </c>
      <c r="BQ52" s="9">
        <f t="shared" si="12"/>
        <v>263</v>
      </c>
      <c r="BR52" s="12">
        <f t="shared" si="13"/>
        <v>1930.3901277790485</v>
      </c>
      <c r="BS52" s="23">
        <f t="shared" si="24"/>
        <v>263</v>
      </c>
      <c r="BU52" s="9">
        <v>80</v>
      </c>
      <c r="BW52" s="9">
        <v>43</v>
      </c>
      <c r="BX52" s="9">
        <v>146</v>
      </c>
      <c r="BY52" s="9">
        <v>171</v>
      </c>
      <c r="BZ52" s="9">
        <v>151</v>
      </c>
      <c r="CA52" s="9">
        <v>158</v>
      </c>
      <c r="CB52" s="9">
        <v>154</v>
      </c>
      <c r="CC52" s="9">
        <v>192</v>
      </c>
      <c r="CD52" s="9">
        <v>188</v>
      </c>
      <c r="CE52" s="9">
        <v>169</v>
      </c>
      <c r="CF52" s="9">
        <v>182</v>
      </c>
      <c r="CG52" s="9">
        <v>184</v>
      </c>
      <c r="CH52" s="9">
        <v>164</v>
      </c>
      <c r="CI52" s="9">
        <v>150</v>
      </c>
      <c r="CJ52" s="9">
        <v>169</v>
      </c>
      <c r="CK52" s="12">
        <f t="shared" si="25"/>
        <v>2105</v>
      </c>
      <c r="CL52" s="9">
        <f t="shared" si="15"/>
        <v>553</v>
      </c>
      <c r="CM52" s="9">
        <f t="shared" si="16"/>
        <v>667</v>
      </c>
      <c r="CN52" s="9">
        <f t="shared" si="17"/>
        <v>1087</v>
      </c>
      <c r="CO52" s="9">
        <f t="shared" si="26"/>
        <v>1018</v>
      </c>
      <c r="CQ52" s="9">
        <f t="shared" si="18"/>
        <v>1160</v>
      </c>
      <c r="CR52" s="9">
        <f t="shared" si="19"/>
        <v>1018</v>
      </c>
    </row>
    <row r="53" spans="1:96" ht="29.25">
      <c r="A53" t="str">
        <f t="shared" si="0"/>
        <v>221</v>
      </c>
      <c r="B53">
        <f t="shared" si="4"/>
        <v>221</v>
      </c>
      <c r="C53" s="15" t="s">
        <v>61</v>
      </c>
      <c r="D53" s="11"/>
      <c r="E53" s="9">
        <f>SUM(191.051065586606*0.5)</f>
        <v>95.525532793303</v>
      </c>
      <c r="F53" s="9">
        <v>180.54589856593</v>
      </c>
      <c r="G53" s="9">
        <v>178.78331104144399</v>
      </c>
      <c r="H53" s="9">
        <v>178.53773418023101</v>
      </c>
      <c r="I53" s="9">
        <v>185.53203280215499</v>
      </c>
      <c r="J53" s="9">
        <v>205.174690768451</v>
      </c>
      <c r="K53" s="9">
        <v>187.96764705882401</v>
      </c>
      <c r="L53" s="9">
        <v>195.10194209472701</v>
      </c>
      <c r="M53" s="9">
        <v>174.18604651162801</v>
      </c>
      <c r="N53" s="9">
        <v>156.51453488372101</v>
      </c>
      <c r="O53" s="9">
        <v>130.54941860465101</v>
      </c>
      <c r="P53" s="9">
        <v>121.96511627907</v>
      </c>
      <c r="Q53" s="9">
        <v>114.877906976744</v>
      </c>
      <c r="R53" s="9">
        <v>3.9981635027470301</v>
      </c>
      <c r="S53" s="9">
        <v>3.5812311627906999</v>
      </c>
      <c r="T53" s="9">
        <v>3.1335541860465099</v>
      </c>
      <c r="U53" s="9">
        <v>18.725371767699301</v>
      </c>
      <c r="V53" s="9">
        <v>19.0572247912548</v>
      </c>
      <c r="W53" s="9">
        <v>18.257686636352801</v>
      </c>
      <c r="X53" s="9">
        <v>21.766525003580099</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1.4107843137254901</v>
      </c>
      <c r="AS53" s="9">
        <v>3.59901960784314</v>
      </c>
      <c r="AT53" s="9">
        <v>6.3480392156862697</v>
      </c>
      <c r="AU53" s="9">
        <v>9.7833333333333297</v>
      </c>
      <c r="AV53" s="9">
        <v>7.1431372549019603</v>
      </c>
      <c r="AW53" s="9">
        <v>9.8862745098039202</v>
      </c>
      <c r="AX53" s="9">
        <f t="shared" si="5"/>
        <v>2343.5497657389765</v>
      </c>
      <c r="AY53" s="9">
        <f t="shared" si="6"/>
        <v>665.06210040995347</v>
      </c>
      <c r="AZ53" s="9">
        <f t="shared" si="7"/>
        <v>666.61829771963858</v>
      </c>
      <c r="BA53" s="9">
        <f t="shared" si="8"/>
        <v>1276.8682612487394</v>
      </c>
      <c r="BB53" s="9">
        <f t="shared" si="9"/>
        <v>1066.6815044902376</v>
      </c>
      <c r="BC53" s="20"/>
      <c r="BD53" s="9">
        <v>1327</v>
      </c>
      <c r="BF53" s="9">
        <v>1462</v>
      </c>
      <c r="BH53" s="9">
        <v>318</v>
      </c>
      <c r="BI53" s="9">
        <f t="shared" si="10"/>
        <v>318</v>
      </c>
      <c r="BJ53" s="9">
        <f t="shared" si="27"/>
        <v>2105.2618125608788</v>
      </c>
      <c r="BK53" s="12">
        <f t="shared" si="23"/>
        <v>318</v>
      </c>
      <c r="BP53" s="9">
        <v>117</v>
      </c>
      <c r="BQ53" s="9">
        <f t="shared" si="12"/>
        <v>117</v>
      </c>
      <c r="BR53" s="12">
        <f t="shared" si="13"/>
        <v>2105.2618125608788</v>
      </c>
      <c r="BS53" s="23">
        <f t="shared" si="24"/>
        <v>117</v>
      </c>
      <c r="BU53" s="9">
        <v>26</v>
      </c>
      <c r="BW53" s="9">
        <v>24</v>
      </c>
      <c r="BX53" s="9">
        <v>209</v>
      </c>
      <c r="BY53" s="9">
        <v>213</v>
      </c>
      <c r="BZ53" s="9">
        <v>204</v>
      </c>
      <c r="CA53" s="9">
        <v>196</v>
      </c>
      <c r="CB53" s="9">
        <v>191</v>
      </c>
      <c r="CC53" s="9">
        <v>204</v>
      </c>
      <c r="CD53" s="9">
        <v>202</v>
      </c>
      <c r="CE53" s="9">
        <v>211</v>
      </c>
      <c r="CF53" s="9">
        <v>206</v>
      </c>
      <c r="CG53" s="9">
        <v>151</v>
      </c>
      <c r="CH53" s="9">
        <v>172</v>
      </c>
      <c r="CI53" s="9">
        <v>143</v>
      </c>
      <c r="CJ53" s="9">
        <v>126</v>
      </c>
      <c r="CK53" s="12">
        <f t="shared" si="25"/>
        <v>2323.5</v>
      </c>
      <c r="CL53" s="9">
        <f t="shared" si="15"/>
        <v>717.5</v>
      </c>
      <c r="CM53" s="9">
        <f t="shared" si="16"/>
        <v>592</v>
      </c>
      <c r="CN53" s="9">
        <f t="shared" si="17"/>
        <v>1314.5</v>
      </c>
      <c r="CO53" s="9">
        <f t="shared" si="26"/>
        <v>1009</v>
      </c>
      <c r="CQ53" s="9">
        <f t="shared" si="18"/>
        <v>1419</v>
      </c>
      <c r="CR53" s="9">
        <f t="shared" si="19"/>
        <v>1009</v>
      </c>
    </row>
    <row r="54" spans="1:96" ht="29.25">
      <c r="A54" t="str">
        <f t="shared" si="0"/>
        <v>231</v>
      </c>
      <c r="B54">
        <f t="shared" si="4"/>
        <v>231</v>
      </c>
      <c r="C54" s="15" t="s">
        <v>62</v>
      </c>
      <c r="D54" s="11"/>
      <c r="E54" s="9">
        <f>SUM(89.2222222222222*0.5)</f>
        <v>44.6111111111111</v>
      </c>
      <c r="F54" s="9">
        <v>91.7777777777778</v>
      </c>
      <c r="G54" s="9">
        <v>101.850694444444</v>
      </c>
      <c r="H54" s="9">
        <v>105.402777777778</v>
      </c>
      <c r="I54" s="9">
        <v>100.302083333333</v>
      </c>
      <c r="J54" s="9">
        <v>94.5625</v>
      </c>
      <c r="K54" s="9">
        <v>110.909722222222</v>
      </c>
      <c r="L54" s="9">
        <v>98.1597222222222</v>
      </c>
      <c r="M54" s="9">
        <v>103.277777777778</v>
      </c>
      <c r="N54" s="9">
        <v>97.513422818791994</v>
      </c>
      <c r="O54" s="9">
        <v>85.023489932885894</v>
      </c>
      <c r="P54" s="9">
        <v>86.842281879194601</v>
      </c>
      <c r="Q54" s="9">
        <v>80.130872483221495</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0</v>
      </c>
      <c r="AS54" s="9">
        <v>0</v>
      </c>
      <c r="AT54" s="9">
        <v>0</v>
      </c>
      <c r="AU54" s="9">
        <v>0</v>
      </c>
      <c r="AV54" s="9">
        <v>0</v>
      </c>
      <c r="AW54" s="9">
        <v>0</v>
      </c>
      <c r="AX54" s="9">
        <f t="shared" si="5"/>
        <v>1260.3824454697981</v>
      </c>
      <c r="AY54" s="9">
        <f t="shared" si="6"/>
        <v>360.82447916666649</v>
      </c>
      <c r="AZ54" s="9">
        <f t="shared" si="7"/>
        <v>366.98557046979869</v>
      </c>
      <c r="BA54" s="9">
        <f t="shared" si="8"/>
        <v>681.88749999999914</v>
      </c>
      <c r="BB54" s="9">
        <f t="shared" si="9"/>
        <v>578.49494546979895</v>
      </c>
      <c r="BC54" s="20"/>
      <c r="BD54" s="9">
        <v>704.8</v>
      </c>
      <c r="BF54" s="153">
        <v>580.89</v>
      </c>
      <c r="BH54" s="9">
        <v>152</v>
      </c>
      <c r="BI54" s="9">
        <f t="shared" si="10"/>
        <v>152</v>
      </c>
      <c r="BJ54" s="9">
        <f t="shared" si="27"/>
        <v>1200.3642337807601</v>
      </c>
      <c r="BK54" s="12">
        <f t="shared" si="23"/>
        <v>152</v>
      </c>
      <c r="BP54" s="9">
        <v>196</v>
      </c>
      <c r="BQ54" s="9">
        <f t="shared" si="12"/>
        <v>196</v>
      </c>
      <c r="BR54" s="12">
        <f t="shared" si="13"/>
        <v>1200.3642337807601</v>
      </c>
      <c r="BS54" s="23">
        <f t="shared" si="24"/>
        <v>196</v>
      </c>
      <c r="BU54" s="9">
        <v>72</v>
      </c>
      <c r="BW54" s="9">
        <v>16</v>
      </c>
      <c r="BX54" s="9">
        <v>89</v>
      </c>
      <c r="BY54" s="9">
        <v>107</v>
      </c>
      <c r="BZ54" s="9">
        <v>95</v>
      </c>
      <c r="CA54" s="9">
        <v>113</v>
      </c>
      <c r="CB54" s="9">
        <v>109</v>
      </c>
      <c r="CC54" s="9">
        <v>102</v>
      </c>
      <c r="CD54" s="9">
        <v>112</v>
      </c>
      <c r="CE54" s="9">
        <v>120</v>
      </c>
      <c r="CF54" s="9">
        <v>104</v>
      </c>
      <c r="CG54" s="9">
        <v>125</v>
      </c>
      <c r="CH54" s="9">
        <v>105</v>
      </c>
      <c r="CI54" s="9">
        <v>89</v>
      </c>
      <c r="CJ54" s="9">
        <v>81</v>
      </c>
      <c r="CK54" s="12">
        <f t="shared" si="25"/>
        <v>1306.5</v>
      </c>
      <c r="CL54" s="9">
        <f t="shared" si="15"/>
        <v>359.5</v>
      </c>
      <c r="CM54" s="9">
        <f t="shared" si="16"/>
        <v>400</v>
      </c>
      <c r="CN54" s="9">
        <f t="shared" si="17"/>
        <v>682.5</v>
      </c>
      <c r="CO54" s="9">
        <f t="shared" si="26"/>
        <v>624</v>
      </c>
      <c r="CQ54" s="9">
        <f t="shared" si="18"/>
        <v>727</v>
      </c>
      <c r="CR54" s="9">
        <f t="shared" si="19"/>
        <v>624</v>
      </c>
    </row>
    <row r="55" spans="1:96" ht="29.25">
      <c r="A55" t="str">
        <f t="shared" si="0"/>
        <v>232</v>
      </c>
      <c r="B55">
        <f t="shared" si="4"/>
        <v>232</v>
      </c>
      <c r="C55" s="15" t="s">
        <v>63</v>
      </c>
      <c r="D55" s="11"/>
      <c r="E55" s="9">
        <f>SUM(70.7777777777778*0.5)</f>
        <v>35.3888888888889</v>
      </c>
      <c r="F55" s="9">
        <v>82.7013888888889</v>
      </c>
      <c r="G55" s="9">
        <v>81.9131944444444</v>
      </c>
      <c r="H55" s="9">
        <v>100.447916666667</v>
      </c>
      <c r="I55" s="9">
        <v>93.40625</v>
      </c>
      <c r="J55" s="9">
        <v>66.0798611111111</v>
      </c>
      <c r="K55" s="9">
        <v>98.0625</v>
      </c>
      <c r="L55" s="9">
        <v>93.9305555555556</v>
      </c>
      <c r="M55" s="9">
        <v>70.9375</v>
      </c>
      <c r="N55" s="9">
        <v>75.627177700348398</v>
      </c>
      <c r="O55" s="9">
        <v>65.763066202090599</v>
      </c>
      <c r="P55" s="9">
        <v>67.881533101045306</v>
      </c>
      <c r="Q55" s="9">
        <v>60.1289198606272</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9">
        <v>0</v>
      </c>
      <c r="AS55" s="9">
        <v>0</v>
      </c>
      <c r="AT55" s="9">
        <v>0</v>
      </c>
      <c r="AU55" s="9">
        <v>0</v>
      </c>
      <c r="AV55" s="9">
        <v>0</v>
      </c>
      <c r="AW55" s="9">
        <v>0</v>
      </c>
      <c r="AX55" s="9">
        <f t="shared" si="5"/>
        <v>1041.8821900406508</v>
      </c>
      <c r="AY55" s="9">
        <f t="shared" si="6"/>
        <v>315.47395833333366</v>
      </c>
      <c r="AZ55" s="9">
        <f t="shared" si="7"/>
        <v>282.87073170731713</v>
      </c>
      <c r="BA55" s="9">
        <f t="shared" si="8"/>
        <v>585.90000000000032</v>
      </c>
      <c r="BB55" s="9">
        <f t="shared" si="9"/>
        <v>455.98219004065049</v>
      </c>
      <c r="BC55" s="20"/>
      <c r="BD55" s="9">
        <v>681.6</v>
      </c>
      <c r="BF55" s="9">
        <v>761</v>
      </c>
      <c r="BH55" s="9">
        <v>129</v>
      </c>
      <c r="BI55" s="9">
        <f t="shared" si="10"/>
        <v>129</v>
      </c>
      <c r="BJ55" s="9">
        <f t="shared" si="27"/>
        <v>992.26875241966741</v>
      </c>
      <c r="BK55" s="12">
        <f t="shared" si="23"/>
        <v>129</v>
      </c>
      <c r="BP55" s="9">
        <v>401</v>
      </c>
      <c r="BQ55" s="9">
        <f t="shared" si="12"/>
        <v>401</v>
      </c>
      <c r="BR55" s="12">
        <f t="shared" si="13"/>
        <v>992.26875241966741</v>
      </c>
      <c r="BS55" s="23">
        <f t="shared" si="24"/>
        <v>401</v>
      </c>
      <c r="BU55" s="9">
        <v>41</v>
      </c>
      <c r="BW55" s="9">
        <v>25</v>
      </c>
      <c r="BX55" s="9">
        <v>84</v>
      </c>
      <c r="BY55" s="9">
        <v>74</v>
      </c>
      <c r="BZ55" s="9">
        <v>83</v>
      </c>
      <c r="CA55" s="9">
        <v>91</v>
      </c>
      <c r="CB55" s="9">
        <v>103</v>
      </c>
      <c r="CC55" s="9">
        <v>91</v>
      </c>
      <c r="CD55" s="9">
        <v>67</v>
      </c>
      <c r="CE55" s="9">
        <v>106</v>
      </c>
      <c r="CF55" s="9">
        <v>88</v>
      </c>
      <c r="CG55" s="9">
        <v>78</v>
      </c>
      <c r="CH55" s="9">
        <v>71</v>
      </c>
      <c r="CI55" s="9">
        <v>63</v>
      </c>
      <c r="CJ55" s="9">
        <v>66</v>
      </c>
      <c r="CK55" s="12">
        <f t="shared" si="25"/>
        <v>1023</v>
      </c>
      <c r="CL55" s="9">
        <f t="shared" si="15"/>
        <v>290</v>
      </c>
      <c r="CM55" s="9">
        <f t="shared" si="16"/>
        <v>278</v>
      </c>
      <c r="CN55" s="9">
        <f t="shared" si="17"/>
        <v>551</v>
      </c>
      <c r="CO55" s="9">
        <f t="shared" si="26"/>
        <v>472</v>
      </c>
      <c r="CQ55" s="9">
        <f t="shared" si="18"/>
        <v>593</v>
      </c>
      <c r="CR55" s="9">
        <f t="shared" si="19"/>
        <v>472</v>
      </c>
    </row>
    <row r="56" spans="1:96" ht="29.25">
      <c r="A56" t="str">
        <f t="shared" si="0"/>
        <v>233</v>
      </c>
      <c r="B56">
        <f t="shared" si="4"/>
        <v>233</v>
      </c>
      <c r="C56" s="15" t="s">
        <v>64</v>
      </c>
      <c r="D56" s="11"/>
      <c r="E56" s="9">
        <f>SUM(23.8732394366197*0.5)</f>
        <v>11.936619718309849</v>
      </c>
      <c r="F56" s="9">
        <v>25.660839160839199</v>
      </c>
      <c r="G56" s="9">
        <v>27.479020979021001</v>
      </c>
      <c r="H56" s="9">
        <v>20.933566433566401</v>
      </c>
      <c r="I56" s="9">
        <v>31.430069930069902</v>
      </c>
      <c r="J56" s="9">
        <v>28.758741258741299</v>
      </c>
      <c r="K56" s="9">
        <v>22.451048951049</v>
      </c>
      <c r="L56" s="9">
        <v>23.632867132867101</v>
      </c>
      <c r="M56" s="9">
        <v>21.5944055944056</v>
      </c>
      <c r="N56" s="9">
        <v>24.527972027972002</v>
      </c>
      <c r="O56" s="9">
        <v>19.356643356643399</v>
      </c>
      <c r="P56" s="9">
        <v>23.209790209790199</v>
      </c>
      <c r="Q56" s="9">
        <v>27.8006993006993</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v>
      </c>
      <c r="AR56" s="9">
        <v>0</v>
      </c>
      <c r="AS56" s="9">
        <v>0</v>
      </c>
      <c r="AT56" s="9">
        <v>0</v>
      </c>
      <c r="AU56" s="9">
        <v>0</v>
      </c>
      <c r="AV56" s="9">
        <v>0</v>
      </c>
      <c r="AW56" s="9">
        <v>0</v>
      </c>
      <c r="AX56" s="9">
        <f t="shared" si="5"/>
        <v>324.21089825667292</v>
      </c>
      <c r="AY56" s="9">
        <f t="shared" si="6"/>
        <v>90.310548606323266</v>
      </c>
      <c r="AZ56" s="9">
        <f t="shared" si="7"/>
        <v>99.639860139860161</v>
      </c>
      <c r="BA56" s="9">
        <f t="shared" si="8"/>
        <v>177.08240175317647</v>
      </c>
      <c r="BB56" s="9">
        <f t="shared" si="9"/>
        <v>147.12849650349648</v>
      </c>
      <c r="BC56" s="20"/>
      <c r="BD56" s="9">
        <v>204</v>
      </c>
      <c r="BF56" s="9">
        <v>177</v>
      </c>
      <c r="BH56" s="9">
        <v>55</v>
      </c>
      <c r="BI56" s="9">
        <f t="shared" si="10"/>
        <v>55</v>
      </c>
      <c r="BJ56" s="9">
        <f t="shared" si="27"/>
        <v>308.7722840539742</v>
      </c>
      <c r="BK56" s="12">
        <f t="shared" si="23"/>
        <v>55</v>
      </c>
      <c r="BP56" s="9">
        <v>26</v>
      </c>
      <c r="BQ56" s="9">
        <f t="shared" si="12"/>
        <v>26</v>
      </c>
      <c r="BR56" s="12">
        <f t="shared" si="13"/>
        <v>308.7722840539742</v>
      </c>
      <c r="BS56" s="23">
        <f t="shared" si="24"/>
        <v>26</v>
      </c>
      <c r="BU56" s="9">
        <v>0</v>
      </c>
      <c r="BW56" s="9">
        <v>2</v>
      </c>
      <c r="BX56" s="9">
        <v>19</v>
      </c>
      <c r="BY56" s="9">
        <v>26</v>
      </c>
      <c r="BZ56" s="9">
        <v>24</v>
      </c>
      <c r="CA56" s="9">
        <v>28</v>
      </c>
      <c r="CB56" s="9">
        <v>24</v>
      </c>
      <c r="CC56" s="9">
        <v>28</v>
      </c>
      <c r="CD56" s="9">
        <v>32</v>
      </c>
      <c r="CE56" s="9">
        <v>21</v>
      </c>
      <c r="CF56" s="9">
        <v>23</v>
      </c>
      <c r="CG56" s="9">
        <v>18</v>
      </c>
      <c r="CH56" s="9">
        <v>18</v>
      </c>
      <c r="CI56" s="9">
        <v>15</v>
      </c>
      <c r="CJ56" s="9">
        <v>14</v>
      </c>
      <c r="CK56" s="12">
        <f t="shared" si="25"/>
        <v>280.5</v>
      </c>
      <c r="CL56" s="9">
        <f t="shared" si="15"/>
        <v>87.5</v>
      </c>
      <c r="CM56" s="9">
        <f t="shared" si="16"/>
        <v>65</v>
      </c>
      <c r="CN56" s="9">
        <f t="shared" si="17"/>
        <v>171.5</v>
      </c>
      <c r="CO56" s="9">
        <f t="shared" si="26"/>
        <v>109</v>
      </c>
      <c r="CQ56" s="9">
        <f t="shared" si="18"/>
        <v>181</v>
      </c>
      <c r="CR56" s="9">
        <f t="shared" si="19"/>
        <v>109</v>
      </c>
    </row>
    <row r="57" spans="1:96" ht="29.25">
      <c r="A57" t="str">
        <f t="shared" si="0"/>
        <v>234</v>
      </c>
      <c r="B57">
        <f t="shared" si="4"/>
        <v>234</v>
      </c>
      <c r="C57" s="15" t="s">
        <v>65</v>
      </c>
      <c r="D57" s="11"/>
      <c r="E57" s="9">
        <f>SUM(10.0625*0.5)</f>
        <v>5.03125</v>
      </c>
      <c r="F57" s="9">
        <v>9.17</v>
      </c>
      <c r="G57" s="9">
        <v>11.22</v>
      </c>
      <c r="H57" s="9">
        <v>7.83</v>
      </c>
      <c r="I57" s="9">
        <v>11.0133333333333</v>
      </c>
      <c r="J57" s="9">
        <v>12.7266666666667</v>
      </c>
      <c r="K57" s="9">
        <v>7.1866666666666701</v>
      </c>
      <c r="L57" s="9">
        <v>14.2466666666667</v>
      </c>
      <c r="M57" s="9">
        <v>11.216666666666701</v>
      </c>
      <c r="N57" s="9">
        <v>10.52</v>
      </c>
      <c r="O57" s="9">
        <v>8.5266666666666708</v>
      </c>
      <c r="P57" s="9">
        <v>7.35</v>
      </c>
      <c r="Q57" s="9">
        <v>3.8979591836734699</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v>
      </c>
      <c r="AR57" s="9">
        <v>0</v>
      </c>
      <c r="AS57" s="9">
        <v>0</v>
      </c>
      <c r="AT57" s="9">
        <v>0</v>
      </c>
      <c r="AU57" s="9">
        <v>0</v>
      </c>
      <c r="AV57" s="9">
        <v>0</v>
      </c>
      <c r="AW57" s="9">
        <v>0</v>
      </c>
      <c r="AX57" s="9">
        <f t="shared" si="5"/>
        <v>125.93266964285721</v>
      </c>
      <c r="AY57" s="9">
        <f t="shared" si="6"/>
        <v>34.913812499999999</v>
      </c>
      <c r="AZ57" s="9">
        <f t="shared" si="7"/>
        <v>31.809357142857149</v>
      </c>
      <c r="BA57" s="9">
        <f t="shared" si="8"/>
        <v>67.386812500000019</v>
      </c>
      <c r="BB57" s="9">
        <f t="shared" si="9"/>
        <v>58.54585714285723</v>
      </c>
      <c r="BC57" s="20"/>
      <c r="BD57" s="9">
        <v>108</v>
      </c>
      <c r="BF57" s="9">
        <v>107</v>
      </c>
      <c r="BH57" s="9">
        <v>11</v>
      </c>
      <c r="BI57" s="9">
        <f t="shared" si="10"/>
        <v>11</v>
      </c>
      <c r="BJ57" s="9">
        <f t="shared" si="27"/>
        <v>119.9358758503402</v>
      </c>
      <c r="BK57" s="12">
        <f t="shared" si="23"/>
        <v>11</v>
      </c>
      <c r="BP57" s="9">
        <v>21</v>
      </c>
      <c r="BQ57" s="9">
        <f t="shared" si="12"/>
        <v>21</v>
      </c>
      <c r="BR57" s="12">
        <f t="shared" si="13"/>
        <v>119.9358758503402</v>
      </c>
      <c r="BS57" s="23">
        <f t="shared" si="24"/>
        <v>21</v>
      </c>
      <c r="BU57" s="9">
        <v>0</v>
      </c>
      <c r="BW57" s="9">
        <v>0</v>
      </c>
      <c r="BX57" s="9">
        <v>14</v>
      </c>
      <c r="BY57" s="9">
        <v>10</v>
      </c>
      <c r="BZ57" s="9">
        <v>8</v>
      </c>
      <c r="CA57" s="9">
        <v>13</v>
      </c>
      <c r="CB57" s="9">
        <v>9</v>
      </c>
      <c r="CC57" s="9">
        <v>15</v>
      </c>
      <c r="CD57" s="9">
        <v>13</v>
      </c>
      <c r="CE57" s="9">
        <v>7</v>
      </c>
      <c r="CF57" s="9">
        <v>16</v>
      </c>
      <c r="CG57" s="9">
        <v>9</v>
      </c>
      <c r="CH57" s="9">
        <v>12</v>
      </c>
      <c r="CI57" s="9">
        <v>8</v>
      </c>
      <c r="CJ57" s="9">
        <v>6</v>
      </c>
      <c r="CK57" s="12">
        <f t="shared" si="25"/>
        <v>133</v>
      </c>
      <c r="CL57" s="9">
        <f t="shared" si="15"/>
        <v>38</v>
      </c>
      <c r="CM57" s="9">
        <f t="shared" si="16"/>
        <v>35</v>
      </c>
      <c r="CN57" s="9">
        <f t="shared" si="17"/>
        <v>75</v>
      </c>
      <c r="CO57" s="9">
        <f t="shared" si="26"/>
        <v>100</v>
      </c>
      <c r="CQ57" s="9">
        <f t="shared" si="18"/>
        <v>82</v>
      </c>
      <c r="CR57" s="9">
        <f t="shared" si="19"/>
        <v>58</v>
      </c>
    </row>
    <row r="58" spans="1:96" ht="29.25">
      <c r="A58" t="str">
        <f t="shared" si="0"/>
        <v>242</v>
      </c>
      <c r="B58">
        <f t="shared" si="4"/>
        <v>242</v>
      </c>
      <c r="C58" s="15" t="s">
        <v>66</v>
      </c>
      <c r="D58" s="11"/>
      <c r="E58" s="9">
        <f>SUM(33.9628608553966*0.5)</f>
        <v>16.981430427698299</v>
      </c>
      <c r="F58" s="9">
        <v>30.351744186046499</v>
      </c>
      <c r="G58" s="9">
        <v>22.119186046511601</v>
      </c>
      <c r="H58" s="9">
        <v>31.322674418604699</v>
      </c>
      <c r="I58" s="9">
        <v>31.430232558139501</v>
      </c>
      <c r="J58" s="9">
        <v>34.380813953488399</v>
      </c>
      <c r="K58" s="9">
        <v>21.023255813953501</v>
      </c>
      <c r="L58" s="9">
        <v>21.322674418604699</v>
      </c>
      <c r="M58" s="9">
        <v>32.444767441860499</v>
      </c>
      <c r="N58" s="9">
        <v>35.369186046511601</v>
      </c>
      <c r="O58" s="9">
        <v>25.183139534883701</v>
      </c>
      <c r="P58" s="9">
        <v>37.956395348837198</v>
      </c>
      <c r="Q58" s="9">
        <v>24.7761627906977</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0</v>
      </c>
      <c r="AR58" s="9">
        <v>0</v>
      </c>
      <c r="AS58" s="9">
        <v>0</v>
      </c>
      <c r="AT58" s="9">
        <v>0</v>
      </c>
      <c r="AU58" s="9">
        <v>0</v>
      </c>
      <c r="AV58" s="9">
        <v>0</v>
      </c>
      <c r="AW58" s="9">
        <v>0</v>
      </c>
      <c r="AX58" s="9">
        <f t="shared" si="5"/>
        <v>382.89474613512982</v>
      </c>
      <c r="AY58" s="9">
        <f t="shared" si="6"/>
        <v>105.81378683280415</v>
      </c>
      <c r="AZ58" s="9">
        <f t="shared" si="7"/>
        <v>129.44912790697671</v>
      </c>
      <c r="BA58" s="9">
        <f t="shared" si="8"/>
        <v>196.98980427466464</v>
      </c>
      <c r="BB58" s="9">
        <f t="shared" si="9"/>
        <v>185.90494186046516</v>
      </c>
      <c r="BC58" s="20"/>
      <c r="BD58" s="9">
        <v>146</v>
      </c>
      <c r="BF58" s="9">
        <v>135</v>
      </c>
      <c r="BH58" s="9">
        <v>22</v>
      </c>
      <c r="BI58" s="9">
        <f t="shared" si="10"/>
        <v>22</v>
      </c>
      <c r="BJ58" s="9">
        <f t="shared" si="27"/>
        <v>364.66166298583789</v>
      </c>
      <c r="BK58" s="12">
        <f t="shared" si="23"/>
        <v>22</v>
      </c>
      <c r="BP58" s="9">
        <v>0</v>
      </c>
      <c r="BQ58" s="9">
        <f t="shared" si="12"/>
        <v>0</v>
      </c>
      <c r="BR58" s="12">
        <f t="shared" si="13"/>
        <v>364.66166298583789</v>
      </c>
      <c r="BS58" s="23">
        <f t="shared" si="24"/>
        <v>0</v>
      </c>
      <c r="BU58" s="9">
        <v>0</v>
      </c>
      <c r="BW58" s="9">
        <v>1</v>
      </c>
      <c r="BX58" s="9">
        <v>22</v>
      </c>
      <c r="BY58" s="9">
        <v>34</v>
      </c>
      <c r="BZ58" s="9">
        <v>30</v>
      </c>
      <c r="CA58" s="9">
        <v>20</v>
      </c>
      <c r="CB58" s="9">
        <v>32</v>
      </c>
      <c r="CC58" s="9">
        <v>33</v>
      </c>
      <c r="CD58" s="9">
        <v>34</v>
      </c>
      <c r="CE58" s="9">
        <v>20</v>
      </c>
      <c r="CF58" s="9">
        <v>24</v>
      </c>
      <c r="CG58" s="9">
        <v>33</v>
      </c>
      <c r="CH58" s="9">
        <v>35</v>
      </c>
      <c r="CI58" s="9">
        <v>25</v>
      </c>
      <c r="CJ58" s="9">
        <v>38</v>
      </c>
      <c r="CK58" s="12">
        <f t="shared" si="25"/>
        <v>369</v>
      </c>
      <c r="CL58" s="9">
        <f t="shared" si="15"/>
        <v>95</v>
      </c>
      <c r="CM58" s="9">
        <f t="shared" si="16"/>
        <v>131</v>
      </c>
      <c r="CN58" s="9">
        <f t="shared" si="17"/>
        <v>194</v>
      </c>
      <c r="CO58" s="9">
        <f t="shared" si="26"/>
        <v>175</v>
      </c>
      <c r="CQ58" s="9">
        <f t="shared" si="18"/>
        <v>205</v>
      </c>
      <c r="CR58" s="9">
        <f t="shared" si="19"/>
        <v>175</v>
      </c>
    </row>
    <row r="59" spans="1:96" ht="29.25">
      <c r="A59" t="str">
        <f t="shared" si="0"/>
        <v>243</v>
      </c>
      <c r="B59">
        <f t="shared" si="4"/>
        <v>243</v>
      </c>
      <c r="C59" s="15" t="s">
        <v>67</v>
      </c>
      <c r="D59" s="11"/>
      <c r="E59" s="9">
        <f>SUM(10.431654676259*0.5)</f>
        <v>5.2158273381295004</v>
      </c>
      <c r="F59" s="9">
        <v>8.8405797101449295</v>
      </c>
      <c r="G59" s="9">
        <v>8.0942028985507193</v>
      </c>
      <c r="H59" s="9">
        <v>9.4565217391304408</v>
      </c>
      <c r="I59" s="9">
        <v>3.1884057971014501</v>
      </c>
      <c r="J59" s="9">
        <v>5.2826086956521703</v>
      </c>
      <c r="K59" s="9">
        <v>8.1775362318840603</v>
      </c>
      <c r="L59" s="9">
        <v>7.3586956521739104</v>
      </c>
      <c r="M59" s="9">
        <v>5.2137681159420302</v>
      </c>
      <c r="N59" s="9">
        <v>10.9601449275362</v>
      </c>
      <c r="O59" s="9">
        <v>11.2898550724638</v>
      </c>
      <c r="P59" s="9">
        <v>8.97463768115942</v>
      </c>
      <c r="Q59" s="9">
        <v>6.7173913043478297</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9">
        <v>0</v>
      </c>
      <c r="AS59" s="9">
        <v>0</v>
      </c>
      <c r="AT59" s="9">
        <v>0</v>
      </c>
      <c r="AU59" s="9">
        <v>0</v>
      </c>
      <c r="AV59" s="9">
        <v>0</v>
      </c>
      <c r="AW59" s="9">
        <v>0</v>
      </c>
      <c r="AX59" s="9">
        <f t="shared" si="5"/>
        <v>103.7086839224273</v>
      </c>
      <c r="AY59" s="9">
        <f t="shared" si="6"/>
        <v>33.187488270253368</v>
      </c>
      <c r="AZ59" s="9">
        <f t="shared" si="7"/>
        <v>39.839130434782611</v>
      </c>
      <c r="BA59" s="9">
        <f t="shared" si="8"/>
        <v>50.668466531122938</v>
      </c>
      <c r="BB59" s="9">
        <f t="shared" si="9"/>
        <v>53.04021739130436</v>
      </c>
      <c r="BC59" s="20"/>
      <c r="BD59" s="9">
        <v>58</v>
      </c>
      <c r="BF59" s="9">
        <v>52</v>
      </c>
      <c r="BH59" s="9">
        <v>15</v>
      </c>
      <c r="BI59" s="9">
        <f t="shared" si="10"/>
        <v>15</v>
      </c>
      <c r="BJ59" s="9">
        <f t="shared" si="27"/>
        <v>98.770175164216468</v>
      </c>
      <c r="BK59" s="12">
        <f t="shared" si="23"/>
        <v>15</v>
      </c>
      <c r="BP59" s="9">
        <v>0</v>
      </c>
      <c r="BQ59" s="9">
        <f t="shared" si="12"/>
        <v>0</v>
      </c>
      <c r="BR59" s="12">
        <f t="shared" si="13"/>
        <v>98.770175164216468</v>
      </c>
      <c r="BS59" s="23">
        <f t="shared" si="24"/>
        <v>0</v>
      </c>
      <c r="BU59" s="9">
        <v>0</v>
      </c>
      <c r="BW59" s="9">
        <v>2</v>
      </c>
      <c r="BX59" s="9">
        <v>9</v>
      </c>
      <c r="BY59" s="9">
        <v>12</v>
      </c>
      <c r="BZ59" s="9">
        <v>10</v>
      </c>
      <c r="CA59" s="9">
        <v>10</v>
      </c>
      <c r="CB59" s="9">
        <v>10</v>
      </c>
      <c r="CC59" s="9">
        <v>6</v>
      </c>
      <c r="CD59" s="9">
        <v>6</v>
      </c>
      <c r="CE59" s="9">
        <v>10</v>
      </c>
      <c r="CF59" s="9">
        <v>6</v>
      </c>
      <c r="CG59" s="9">
        <v>8</v>
      </c>
      <c r="CH59" s="9">
        <v>11</v>
      </c>
      <c r="CI59" s="9">
        <v>12</v>
      </c>
      <c r="CJ59" s="9">
        <v>9</v>
      </c>
      <c r="CK59" s="12">
        <f t="shared" si="25"/>
        <v>114.5</v>
      </c>
      <c r="CL59" s="9">
        <f t="shared" si="15"/>
        <v>36.5</v>
      </c>
      <c r="CM59" s="9">
        <f t="shared" si="16"/>
        <v>40</v>
      </c>
      <c r="CN59" s="9">
        <f t="shared" si="17"/>
        <v>58.5</v>
      </c>
      <c r="CO59" s="9">
        <f t="shared" si="26"/>
        <v>100</v>
      </c>
      <c r="CQ59" s="9">
        <f t="shared" si="18"/>
        <v>63</v>
      </c>
      <c r="CR59" s="9">
        <f t="shared" si="19"/>
        <v>56</v>
      </c>
    </row>
    <row r="60" spans="1:96" ht="29.25">
      <c r="A60" t="str">
        <f t="shared" si="0"/>
        <v>244</v>
      </c>
      <c r="B60">
        <f t="shared" si="4"/>
        <v>244</v>
      </c>
      <c r="C60" s="15" t="s">
        <v>68</v>
      </c>
      <c r="D60" s="11"/>
      <c r="E60" s="9">
        <f>SUM(82.5874270831015*0.5)</f>
        <v>41.293713541550751</v>
      </c>
      <c r="F60" s="9">
        <v>87.909638554216897</v>
      </c>
      <c r="G60" s="9">
        <v>103.213452784594</v>
      </c>
      <c r="H60" s="9">
        <v>91.045180722891601</v>
      </c>
      <c r="I60" s="9">
        <v>92.591671256546107</v>
      </c>
      <c r="J60" s="9">
        <v>90.189759036144594</v>
      </c>
      <c r="K60" s="9">
        <v>99.4233865066589</v>
      </c>
      <c r="L60" s="9">
        <v>72.809903761629101</v>
      </c>
      <c r="M60" s="9">
        <v>93.278939889897799</v>
      </c>
      <c r="N60" s="9">
        <v>82.640951338872398</v>
      </c>
      <c r="O60" s="9">
        <v>101.677787189326</v>
      </c>
      <c r="P60" s="9">
        <v>90.437963927007601</v>
      </c>
      <c r="Q60" s="9">
        <v>75.679455581724397</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9">
        <v>0</v>
      </c>
      <c r="AS60" s="9">
        <v>0</v>
      </c>
      <c r="AT60" s="9">
        <v>0</v>
      </c>
      <c r="AU60" s="9">
        <v>0</v>
      </c>
      <c r="AV60" s="9">
        <v>0</v>
      </c>
      <c r="AW60" s="9">
        <v>0</v>
      </c>
      <c r="AX60" s="9">
        <f t="shared" si="5"/>
        <v>1178.3013942956131</v>
      </c>
      <c r="AY60" s="9">
        <f t="shared" si="6"/>
        <v>339.63508488341591</v>
      </c>
      <c r="AZ60" s="9">
        <f t="shared" si="7"/>
        <v>367.95796593877691</v>
      </c>
      <c r="BA60" s="9">
        <f t="shared" si="8"/>
        <v>635.95014252273313</v>
      </c>
      <c r="BB60" s="9">
        <f t="shared" si="9"/>
        <v>542.35125177288023</v>
      </c>
      <c r="BC60" s="20"/>
      <c r="BD60" s="9">
        <v>608</v>
      </c>
      <c r="BF60" s="9">
        <v>532</v>
      </c>
      <c r="BH60" s="9">
        <v>157</v>
      </c>
      <c r="BI60" s="9">
        <f t="shared" si="10"/>
        <v>157</v>
      </c>
      <c r="BJ60" s="9">
        <f t="shared" si="27"/>
        <v>1122.19180409106</v>
      </c>
      <c r="BK60" s="12">
        <f t="shared" si="23"/>
        <v>157</v>
      </c>
      <c r="BP60" s="9" t="s">
        <v>240</v>
      </c>
      <c r="BQ60" s="9" t="str">
        <f t="shared" si="12"/>
        <v/>
      </c>
      <c r="BR60" s="12" t="str">
        <f t="shared" si="13"/>
        <v/>
      </c>
      <c r="BS60" s="23">
        <f t="shared" si="24"/>
        <v>100.79067576424836</v>
      </c>
      <c r="BU60" s="9">
        <v>0</v>
      </c>
      <c r="BW60" s="9">
        <v>12</v>
      </c>
      <c r="BX60" s="9">
        <v>72</v>
      </c>
      <c r="BY60" s="9">
        <v>87</v>
      </c>
      <c r="BZ60" s="9">
        <v>92</v>
      </c>
      <c r="CA60" s="9">
        <v>115</v>
      </c>
      <c r="CB60" s="9">
        <v>92</v>
      </c>
      <c r="CC60" s="9">
        <v>106</v>
      </c>
      <c r="CD60" s="9">
        <v>99</v>
      </c>
      <c r="CE60" s="9">
        <v>107</v>
      </c>
      <c r="CF60" s="9">
        <v>81</v>
      </c>
      <c r="CG60" s="9">
        <v>105</v>
      </c>
      <c r="CH60" s="9">
        <v>86</v>
      </c>
      <c r="CI60" s="9">
        <v>111</v>
      </c>
      <c r="CJ60" s="9">
        <v>83</v>
      </c>
      <c r="CK60" s="12">
        <f t="shared" si="25"/>
        <v>1200</v>
      </c>
      <c r="CL60" s="9">
        <f t="shared" si="15"/>
        <v>330</v>
      </c>
      <c r="CM60" s="9">
        <f t="shared" si="16"/>
        <v>385</v>
      </c>
      <c r="CN60" s="9">
        <f t="shared" si="17"/>
        <v>627</v>
      </c>
      <c r="CO60" s="9">
        <f t="shared" si="26"/>
        <v>573</v>
      </c>
      <c r="CQ60" s="9">
        <f t="shared" si="18"/>
        <v>663</v>
      </c>
      <c r="CR60" s="9">
        <f t="shared" si="19"/>
        <v>573</v>
      </c>
    </row>
    <row r="61" spans="1:96" ht="29.25">
      <c r="A61" t="str">
        <f t="shared" si="0"/>
        <v>251</v>
      </c>
      <c r="B61">
        <f t="shared" si="4"/>
        <v>251</v>
      </c>
      <c r="C61" s="15" t="s">
        <v>69</v>
      </c>
      <c r="D61" s="11"/>
      <c r="E61" s="9">
        <f>SUM(421.317396418923*0.5)</f>
        <v>210.65869820946151</v>
      </c>
      <c r="F61" s="9">
        <v>433.74878463638498</v>
      </c>
      <c r="G61" s="9">
        <v>441.39339075055199</v>
      </c>
      <c r="H61" s="9">
        <v>455.30963871244097</v>
      </c>
      <c r="I61" s="9">
        <v>478.33356893552599</v>
      </c>
      <c r="J61" s="9">
        <v>468.06442663032101</v>
      </c>
      <c r="K61" s="9">
        <v>462.60355029585799</v>
      </c>
      <c r="L61" s="9">
        <v>425.83136094674597</v>
      </c>
      <c r="M61" s="9">
        <v>392.12130177514803</v>
      </c>
      <c r="N61" s="9">
        <v>405.81845238095201</v>
      </c>
      <c r="O61" s="9">
        <v>356.45238095238102</v>
      </c>
      <c r="P61" s="9">
        <v>334.64880952380997</v>
      </c>
      <c r="Q61" s="9">
        <v>354.30357142857099</v>
      </c>
      <c r="R61" s="9">
        <v>0</v>
      </c>
      <c r="S61" s="9">
        <v>0</v>
      </c>
      <c r="T61" s="9">
        <v>0</v>
      </c>
      <c r="U61" s="9">
        <v>2.0142619047618999</v>
      </c>
      <c r="V61" s="9">
        <v>12.137166666666699</v>
      </c>
      <c r="W61" s="9">
        <v>19.577991746031799</v>
      </c>
      <c r="X61" s="9">
        <v>12.0704676190476</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4.3529411764705896</v>
      </c>
      <c r="AR61" s="9">
        <v>7.4558823529411802</v>
      </c>
      <c r="AS61" s="9">
        <v>7.9264705882352899</v>
      </c>
      <c r="AT61" s="9">
        <v>22.676470588235301</v>
      </c>
      <c r="AU61" s="9">
        <v>12.147058823529401</v>
      </c>
      <c r="AV61" s="9">
        <v>7.9705882352941204</v>
      </c>
      <c r="AW61" s="9">
        <v>0.55882352941176505</v>
      </c>
      <c r="AX61" s="9">
        <f t="shared" si="5"/>
        <v>5594.5848613292173</v>
      </c>
      <c r="AY61" s="9">
        <f t="shared" si="6"/>
        <v>1618.1660379242817</v>
      </c>
      <c r="AZ61" s="9">
        <f t="shared" si="7"/>
        <v>1617.3948455686275</v>
      </c>
      <c r="BA61" s="9">
        <f t="shared" si="8"/>
        <v>3102.1882493143662</v>
      </c>
      <c r="BB61" s="9">
        <f t="shared" si="9"/>
        <v>2492.3966120148511</v>
      </c>
      <c r="BC61" s="20"/>
      <c r="BD61" s="9">
        <v>2264</v>
      </c>
      <c r="BF61" s="9">
        <v>2163</v>
      </c>
      <c r="BH61" s="9">
        <v>487</v>
      </c>
      <c r="BI61" s="9">
        <f t="shared" si="10"/>
        <v>487</v>
      </c>
      <c r="BJ61" s="9">
        <f t="shared" si="27"/>
        <v>5219.2879351781521</v>
      </c>
      <c r="BK61" s="12">
        <f t="shared" si="23"/>
        <v>487</v>
      </c>
      <c r="BP61" s="9">
        <v>321</v>
      </c>
      <c r="BQ61" s="9">
        <f t="shared" si="12"/>
        <v>321</v>
      </c>
      <c r="BR61" s="12">
        <f t="shared" si="13"/>
        <v>5219.2879351781521</v>
      </c>
      <c r="BS61" s="23">
        <f t="shared" si="24"/>
        <v>321</v>
      </c>
      <c r="BU61" s="9">
        <v>175</v>
      </c>
      <c r="BW61" s="9">
        <v>91</v>
      </c>
      <c r="BX61" s="9">
        <v>503</v>
      </c>
      <c r="BY61" s="9">
        <v>466</v>
      </c>
      <c r="BZ61" s="9">
        <v>473</v>
      </c>
      <c r="CA61" s="9">
        <v>473</v>
      </c>
      <c r="CB61" s="9">
        <v>502</v>
      </c>
      <c r="CC61" s="9">
        <v>516</v>
      </c>
      <c r="CD61" s="9">
        <v>509</v>
      </c>
      <c r="CE61" s="9">
        <v>517</v>
      </c>
      <c r="CF61" s="9">
        <v>451</v>
      </c>
      <c r="CG61" s="9">
        <v>446</v>
      </c>
      <c r="CH61" s="9">
        <v>443</v>
      </c>
      <c r="CI61" s="9">
        <v>407</v>
      </c>
      <c r="CJ61" s="9">
        <v>365</v>
      </c>
      <c r="CK61" s="12">
        <f t="shared" si="25"/>
        <v>5819.5</v>
      </c>
      <c r="CL61" s="9">
        <f t="shared" si="15"/>
        <v>1663.5</v>
      </c>
      <c r="CM61" s="9">
        <f t="shared" si="16"/>
        <v>1661</v>
      </c>
      <c r="CN61" s="9">
        <f t="shared" si="17"/>
        <v>3190.5</v>
      </c>
      <c r="CO61" s="9">
        <f t="shared" si="26"/>
        <v>2629</v>
      </c>
      <c r="CQ61" s="9">
        <f t="shared" si="18"/>
        <v>3442</v>
      </c>
      <c r="CR61" s="9">
        <f t="shared" si="19"/>
        <v>2629</v>
      </c>
    </row>
    <row r="62" spans="1:96" ht="29.25">
      <c r="A62" t="str">
        <f t="shared" si="0"/>
        <v>252</v>
      </c>
      <c r="B62">
        <f t="shared" si="4"/>
        <v>252</v>
      </c>
      <c r="C62" s="15" t="s">
        <v>70</v>
      </c>
      <c r="D62" s="11"/>
      <c r="E62" s="9">
        <f>SUM(33.2767295597484*0.5)</f>
        <v>16.638364779874198</v>
      </c>
      <c r="F62" s="9">
        <v>52.336477987421397</v>
      </c>
      <c r="G62" s="9">
        <v>36.4339622641509</v>
      </c>
      <c r="H62" s="9">
        <v>44.336477987421397</v>
      </c>
      <c r="I62" s="9">
        <v>58.971698113207502</v>
      </c>
      <c r="J62" s="9">
        <v>48.179245283018901</v>
      </c>
      <c r="K62" s="9">
        <v>40.361635220125798</v>
      </c>
      <c r="L62" s="9">
        <v>55.081761006289298</v>
      </c>
      <c r="M62" s="9">
        <v>61.119496855345901</v>
      </c>
      <c r="N62" s="9">
        <v>63.591194968553502</v>
      </c>
      <c r="O62" s="9">
        <v>59.2201257861635</v>
      </c>
      <c r="P62" s="9">
        <v>59.477987421383602</v>
      </c>
      <c r="Q62" s="9">
        <v>51.194968553459098</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9">
        <v>0</v>
      </c>
      <c r="AS62" s="9">
        <v>0</v>
      </c>
      <c r="AT62" s="9">
        <v>0</v>
      </c>
      <c r="AU62" s="9">
        <v>0</v>
      </c>
      <c r="AV62" s="9">
        <v>0</v>
      </c>
      <c r="AW62" s="9">
        <v>0</v>
      </c>
      <c r="AX62" s="9">
        <f t="shared" si="5"/>
        <v>679.29056603773574</v>
      </c>
      <c r="AY62" s="9">
        <f t="shared" si="6"/>
        <v>157.23254716981128</v>
      </c>
      <c r="AZ62" s="9">
        <f t="shared" si="7"/>
        <v>245.1584905660377</v>
      </c>
      <c r="BA62" s="9">
        <f t="shared" si="8"/>
        <v>312.12075471698108</v>
      </c>
      <c r="BB62" s="9">
        <f t="shared" si="9"/>
        <v>367.16981132075466</v>
      </c>
      <c r="BC62" s="20"/>
      <c r="BD62" s="9">
        <v>314</v>
      </c>
      <c r="BF62" s="9">
        <v>290</v>
      </c>
      <c r="BH62" s="9">
        <v>73</v>
      </c>
      <c r="BI62" s="9">
        <f t="shared" si="10"/>
        <v>73</v>
      </c>
      <c r="BJ62" s="9">
        <f t="shared" si="27"/>
        <v>646.94339622641496</v>
      </c>
      <c r="BK62" s="12">
        <f t="shared" si="23"/>
        <v>73</v>
      </c>
      <c r="BP62" s="9">
        <v>19</v>
      </c>
      <c r="BQ62" s="9">
        <f t="shared" si="12"/>
        <v>19</v>
      </c>
      <c r="BR62" s="12">
        <f t="shared" si="13"/>
        <v>646.94339622641496</v>
      </c>
      <c r="BS62" s="23">
        <f t="shared" si="24"/>
        <v>19</v>
      </c>
      <c r="BU62" s="9">
        <v>0</v>
      </c>
      <c r="BW62" s="9">
        <v>29</v>
      </c>
      <c r="BX62" s="9">
        <v>37</v>
      </c>
      <c r="BY62" s="9">
        <v>37</v>
      </c>
      <c r="BZ62" s="9">
        <v>57</v>
      </c>
      <c r="CA62" s="9">
        <v>42</v>
      </c>
      <c r="CB62" s="9">
        <v>49</v>
      </c>
      <c r="CC62" s="9">
        <v>60</v>
      </c>
      <c r="CD62" s="9">
        <v>51</v>
      </c>
      <c r="CE62" s="9">
        <v>46</v>
      </c>
      <c r="CF62" s="9">
        <v>63</v>
      </c>
      <c r="CG62" s="9">
        <v>69</v>
      </c>
      <c r="CH62" s="9">
        <v>68</v>
      </c>
      <c r="CI62" s="9">
        <v>59</v>
      </c>
      <c r="CJ62" s="9">
        <v>56</v>
      </c>
      <c r="CK62" s="12">
        <f t="shared" si="25"/>
        <v>675.5</v>
      </c>
      <c r="CL62" s="9">
        <f t="shared" si="15"/>
        <v>154.5</v>
      </c>
      <c r="CM62" s="9">
        <f t="shared" si="16"/>
        <v>252</v>
      </c>
      <c r="CN62" s="9">
        <f t="shared" si="17"/>
        <v>314.5</v>
      </c>
      <c r="CO62" s="9">
        <f t="shared" si="26"/>
        <v>361</v>
      </c>
      <c r="CQ62" s="9">
        <f t="shared" si="18"/>
        <v>333</v>
      </c>
      <c r="CR62" s="9">
        <f t="shared" si="19"/>
        <v>361</v>
      </c>
    </row>
    <row r="63" spans="1:96" ht="29.25">
      <c r="A63" t="str">
        <f t="shared" si="0"/>
        <v>253</v>
      </c>
      <c r="B63">
        <f t="shared" si="4"/>
        <v>253</v>
      </c>
      <c r="C63" s="15" t="s">
        <v>71</v>
      </c>
      <c r="D63" s="11"/>
      <c r="E63" s="9">
        <f>SUM(27.4355828220859*0.5)</f>
        <v>13.717791411042951</v>
      </c>
      <c r="F63" s="9">
        <v>32.2269938650307</v>
      </c>
      <c r="G63" s="9">
        <v>35.837423312883402</v>
      </c>
      <c r="H63" s="9">
        <v>29.426380368098201</v>
      </c>
      <c r="I63" s="9">
        <v>47.852760736196302</v>
      </c>
      <c r="J63" s="9">
        <v>42.503067484662601</v>
      </c>
      <c r="K63" s="9">
        <v>50.122699386503101</v>
      </c>
      <c r="L63" s="9">
        <v>34.829411764705902</v>
      </c>
      <c r="M63" s="9">
        <v>49.770588235294099</v>
      </c>
      <c r="N63" s="9">
        <v>49.664705882352898</v>
      </c>
      <c r="O63" s="9">
        <v>56.208823529411802</v>
      </c>
      <c r="P63" s="9">
        <v>50.523529411764699</v>
      </c>
      <c r="Q63" s="9">
        <v>49.55</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9">
        <v>0</v>
      </c>
      <c r="AS63" s="9">
        <v>0</v>
      </c>
      <c r="AT63" s="9">
        <v>0</v>
      </c>
      <c r="AU63" s="9">
        <v>0</v>
      </c>
      <c r="AV63" s="9">
        <v>0</v>
      </c>
      <c r="AW63" s="9">
        <v>0</v>
      </c>
      <c r="AX63" s="9">
        <f t="shared" si="5"/>
        <v>569.34588415734402</v>
      </c>
      <c r="AY63" s="9">
        <f t="shared" si="6"/>
        <v>116.76901840490801</v>
      </c>
      <c r="AZ63" s="9">
        <f t="shared" si="7"/>
        <v>216.24441176470589</v>
      </c>
      <c r="BA63" s="9">
        <f t="shared" si="8"/>
        <v>264.27147239263809</v>
      </c>
      <c r="BB63" s="9">
        <f t="shared" si="9"/>
        <v>305.07441176470593</v>
      </c>
      <c r="BC63" s="20"/>
      <c r="BD63" s="9">
        <v>320</v>
      </c>
      <c r="BF63" s="9">
        <v>265</v>
      </c>
      <c r="BH63" s="9">
        <v>32</v>
      </c>
      <c r="BI63" s="9">
        <f t="shared" si="10"/>
        <v>32</v>
      </c>
      <c r="BJ63" s="9">
        <f t="shared" si="27"/>
        <v>542.23417538794661</v>
      </c>
      <c r="BK63" s="12">
        <f t="shared" si="23"/>
        <v>32</v>
      </c>
      <c r="BP63" s="9">
        <v>97</v>
      </c>
      <c r="BQ63" s="9">
        <f t="shared" si="12"/>
        <v>97</v>
      </c>
      <c r="BR63" s="12">
        <f t="shared" si="13"/>
        <v>542.23417538794661</v>
      </c>
      <c r="BS63" s="23">
        <f t="shared" si="24"/>
        <v>97</v>
      </c>
      <c r="BU63" s="9">
        <v>30</v>
      </c>
      <c r="BW63" s="9">
        <v>1</v>
      </c>
      <c r="BX63" s="9">
        <v>42</v>
      </c>
      <c r="BY63" s="9">
        <v>36</v>
      </c>
      <c r="BZ63" s="9">
        <v>36</v>
      </c>
      <c r="CA63" s="9">
        <v>40</v>
      </c>
      <c r="CB63" s="9">
        <v>33</v>
      </c>
      <c r="CC63" s="9">
        <v>57</v>
      </c>
      <c r="CD63" s="9">
        <v>46</v>
      </c>
      <c r="CE63" s="9">
        <v>53</v>
      </c>
      <c r="CF63" s="9">
        <v>42</v>
      </c>
      <c r="CG63" s="9">
        <v>49</v>
      </c>
      <c r="CH63" s="9">
        <v>51</v>
      </c>
      <c r="CI63" s="9">
        <v>56</v>
      </c>
      <c r="CJ63" s="9">
        <v>56</v>
      </c>
      <c r="CK63" s="12">
        <f t="shared" si="25"/>
        <v>576</v>
      </c>
      <c r="CL63" s="9">
        <f t="shared" si="15"/>
        <v>133</v>
      </c>
      <c r="CM63" s="9">
        <f t="shared" si="16"/>
        <v>212</v>
      </c>
      <c r="CN63" s="9">
        <f t="shared" si="17"/>
        <v>269</v>
      </c>
      <c r="CO63" s="9">
        <f t="shared" si="26"/>
        <v>307</v>
      </c>
      <c r="CQ63" s="9">
        <f t="shared" si="18"/>
        <v>290</v>
      </c>
      <c r="CR63" s="9">
        <f t="shared" si="19"/>
        <v>307</v>
      </c>
    </row>
    <row r="64" spans="1:96" ht="29.25">
      <c r="A64" t="str">
        <f t="shared" si="0"/>
        <v>261</v>
      </c>
      <c r="B64">
        <f t="shared" si="4"/>
        <v>261</v>
      </c>
      <c r="C64" s="15" t="s">
        <v>72</v>
      </c>
      <c r="D64" s="11"/>
      <c r="E64" s="9">
        <f>SUM(266.324294742714*0.5)</f>
        <v>133.16214737135701</v>
      </c>
      <c r="F64" s="9">
        <v>282.758620689655</v>
      </c>
      <c r="G64" s="9">
        <v>291.86781609195401</v>
      </c>
      <c r="H64" s="9">
        <v>303.13218390804599</v>
      </c>
      <c r="I64" s="9">
        <v>347.23275862068999</v>
      </c>
      <c r="J64" s="9">
        <v>308.67528735632197</v>
      </c>
      <c r="K64" s="9">
        <v>314.62138728323703</v>
      </c>
      <c r="L64" s="9">
        <v>304.61560693641599</v>
      </c>
      <c r="M64" s="9">
        <v>302.647398843931</v>
      </c>
      <c r="N64" s="9">
        <v>305.68023255814001</v>
      </c>
      <c r="O64" s="9">
        <v>268.29651162790702</v>
      </c>
      <c r="P64" s="9">
        <v>206.89534883720901</v>
      </c>
      <c r="Q64" s="9">
        <v>205.52616279069801</v>
      </c>
      <c r="R64" s="9">
        <v>1.7731034482758601</v>
      </c>
      <c r="S64" s="9">
        <v>3.0579693486589998</v>
      </c>
      <c r="T64" s="9">
        <v>7.2508429118773998</v>
      </c>
      <c r="U64" s="9">
        <v>4.3578160919540201</v>
      </c>
      <c r="V64" s="9">
        <v>2.0561428571428602</v>
      </c>
      <c r="W64" s="9">
        <v>1.0698305084745801</v>
      </c>
      <c r="X64" s="9">
        <v>1.75022988505747</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6.99705882352941</v>
      </c>
      <c r="AR64" s="9">
        <v>6.86960784313725</v>
      </c>
      <c r="AS64" s="9">
        <v>5.0725490196078402</v>
      </c>
      <c r="AT64" s="9">
        <v>15.0264705882353</v>
      </c>
      <c r="AU64" s="9">
        <v>10.5911764705882</v>
      </c>
      <c r="AV64" s="9">
        <v>14.1725490196078</v>
      </c>
      <c r="AW64" s="9">
        <v>4.0147058823529402</v>
      </c>
      <c r="AX64" s="9">
        <f t="shared" si="5"/>
        <v>3842.1300913947648</v>
      </c>
      <c r="AY64" s="9">
        <f t="shared" si="6"/>
        <v>1061.4668064640628</v>
      </c>
      <c r="AZ64" s="9">
        <f t="shared" si="7"/>
        <v>1091.4090359732356</v>
      </c>
      <c r="BA64" s="9">
        <f t="shared" si="8"/>
        <v>2089.7313817727195</v>
      </c>
      <c r="BB64" s="9">
        <f t="shared" si="9"/>
        <v>1752.3987096220453</v>
      </c>
      <c r="BC64" s="20"/>
      <c r="BD64" s="9">
        <v>2422</v>
      </c>
      <c r="BF64" s="9">
        <v>2386</v>
      </c>
      <c r="BH64" s="9">
        <v>393</v>
      </c>
      <c r="BI64" s="9">
        <f t="shared" si="10"/>
        <v>393</v>
      </c>
      <c r="BJ64" s="9">
        <f t="shared" si="27"/>
        <v>3575.1114629155618</v>
      </c>
      <c r="BK64" s="12">
        <f t="shared" si="23"/>
        <v>393</v>
      </c>
      <c r="BP64" s="9">
        <v>1054</v>
      </c>
      <c r="BQ64" s="9">
        <f t="shared" si="12"/>
        <v>1054</v>
      </c>
      <c r="BR64" s="12">
        <f t="shared" si="13"/>
        <v>3575.1114629155618</v>
      </c>
      <c r="BS64" s="23">
        <f t="shared" si="24"/>
        <v>1054</v>
      </c>
      <c r="BU64" s="9">
        <v>132</v>
      </c>
      <c r="BW64" s="9">
        <v>41</v>
      </c>
      <c r="BX64" s="9">
        <v>305</v>
      </c>
      <c r="BY64" s="9">
        <v>288</v>
      </c>
      <c r="BZ64" s="9">
        <v>307</v>
      </c>
      <c r="CA64" s="9">
        <v>316</v>
      </c>
      <c r="CB64" s="9">
        <v>321</v>
      </c>
      <c r="CC64" s="9">
        <v>371</v>
      </c>
      <c r="CD64" s="9">
        <v>328</v>
      </c>
      <c r="CE64" s="9">
        <v>343</v>
      </c>
      <c r="CF64" s="9">
        <v>343</v>
      </c>
      <c r="CG64" s="9">
        <v>336</v>
      </c>
      <c r="CH64" s="9">
        <v>325</v>
      </c>
      <c r="CI64" s="9">
        <v>230</v>
      </c>
      <c r="CJ64" s="9">
        <v>214</v>
      </c>
      <c r="CK64" s="12">
        <f t="shared" si="25"/>
        <v>3874.5</v>
      </c>
      <c r="CL64" s="9">
        <f t="shared" si="15"/>
        <v>1063.5</v>
      </c>
      <c r="CM64" s="9">
        <f t="shared" si="16"/>
        <v>1105</v>
      </c>
      <c r="CN64" s="9">
        <f t="shared" si="17"/>
        <v>2083.5</v>
      </c>
      <c r="CO64" s="9">
        <f t="shared" si="26"/>
        <v>1791</v>
      </c>
      <c r="CQ64" s="9">
        <f t="shared" si="18"/>
        <v>2236</v>
      </c>
      <c r="CR64" s="9">
        <f t="shared" si="19"/>
        <v>1791</v>
      </c>
    </row>
    <row r="65" spans="1:96" ht="29.25">
      <c r="A65" t="str">
        <f t="shared" si="0"/>
        <v>262</v>
      </c>
      <c r="B65">
        <f t="shared" si="4"/>
        <v>262</v>
      </c>
      <c r="C65" s="15" t="s">
        <v>73</v>
      </c>
      <c r="D65" s="11"/>
      <c r="E65" s="9">
        <f>SUM(38.8951048951049*0.5)</f>
        <v>19.44755244755245</v>
      </c>
      <c r="F65" s="9">
        <v>40.608391608391599</v>
      </c>
      <c r="G65" s="9">
        <v>35.321678321678299</v>
      </c>
      <c r="H65" s="9">
        <v>42.954545454545503</v>
      </c>
      <c r="I65" s="9">
        <v>41.6958041958042</v>
      </c>
      <c r="J65" s="9">
        <v>54.611888111888099</v>
      </c>
      <c r="K65" s="9">
        <v>41.066433566433602</v>
      </c>
      <c r="L65" s="9">
        <v>51.370629370629402</v>
      </c>
      <c r="M65" s="9">
        <v>43.688811188811201</v>
      </c>
      <c r="N65" s="9">
        <v>50.472027972028002</v>
      </c>
      <c r="O65" s="9">
        <v>29.7937062937063</v>
      </c>
      <c r="P65" s="9">
        <v>45.090909090909101</v>
      </c>
      <c r="Q65" s="9">
        <v>34.150349650349703</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9">
        <v>0</v>
      </c>
      <c r="AS65" s="9">
        <v>0</v>
      </c>
      <c r="AT65" s="9">
        <v>0</v>
      </c>
      <c r="AU65" s="9">
        <v>0</v>
      </c>
      <c r="AV65" s="9">
        <v>0</v>
      </c>
      <c r="AW65" s="9">
        <v>0</v>
      </c>
      <c r="AX65" s="9">
        <f t="shared" si="5"/>
        <v>556.78636363636383</v>
      </c>
      <c r="AY65" s="9">
        <f t="shared" si="6"/>
        <v>145.24877622377625</v>
      </c>
      <c r="AZ65" s="9">
        <f t="shared" si="7"/>
        <v>167.48234265734277</v>
      </c>
      <c r="BA65" s="9">
        <f t="shared" si="8"/>
        <v>289.49160839160845</v>
      </c>
      <c r="BB65" s="9">
        <f t="shared" si="9"/>
        <v>267.29475524475538</v>
      </c>
      <c r="BC65" s="20"/>
      <c r="BD65" s="9">
        <v>367</v>
      </c>
      <c r="BF65" s="9">
        <v>333</v>
      </c>
      <c r="BH65" s="9">
        <v>47</v>
      </c>
      <c r="BI65" s="9">
        <f t="shared" si="10"/>
        <v>47</v>
      </c>
      <c r="BJ65" s="9">
        <f t="shared" si="27"/>
        <v>530.27272727272748</v>
      </c>
      <c r="BK65" s="12">
        <f t="shared" si="23"/>
        <v>47</v>
      </c>
      <c r="BP65" s="9">
        <v>156</v>
      </c>
      <c r="BQ65" s="9">
        <f t="shared" si="12"/>
        <v>156</v>
      </c>
      <c r="BR65" s="12">
        <f t="shared" si="13"/>
        <v>530.27272727272748</v>
      </c>
      <c r="BS65" s="23">
        <f t="shared" si="24"/>
        <v>156</v>
      </c>
      <c r="BU65" s="9">
        <v>0</v>
      </c>
      <c r="BW65" s="9">
        <v>12</v>
      </c>
      <c r="BX65" s="9">
        <v>41</v>
      </c>
      <c r="BY65" s="9">
        <v>50</v>
      </c>
      <c r="BZ65" s="9">
        <v>40</v>
      </c>
      <c r="CA65" s="9">
        <v>37</v>
      </c>
      <c r="CB65" s="9">
        <v>46</v>
      </c>
      <c r="CC65" s="9">
        <v>50</v>
      </c>
      <c r="CD65" s="9">
        <v>61</v>
      </c>
      <c r="CE65" s="9">
        <v>43</v>
      </c>
      <c r="CF65" s="9">
        <v>50</v>
      </c>
      <c r="CG65" s="9">
        <v>48</v>
      </c>
      <c r="CH65" s="9">
        <v>49</v>
      </c>
      <c r="CI65" s="9">
        <v>36</v>
      </c>
      <c r="CJ65" s="9">
        <v>44</v>
      </c>
      <c r="CK65" s="12">
        <f t="shared" si="25"/>
        <v>574.5</v>
      </c>
      <c r="CL65" s="9">
        <f t="shared" si="15"/>
        <v>147.5</v>
      </c>
      <c r="CM65" s="9">
        <f t="shared" si="16"/>
        <v>177</v>
      </c>
      <c r="CN65" s="9">
        <f t="shared" si="17"/>
        <v>304.5</v>
      </c>
      <c r="CO65" s="9">
        <f t="shared" si="26"/>
        <v>270</v>
      </c>
      <c r="CQ65" s="9">
        <f t="shared" si="18"/>
        <v>325</v>
      </c>
      <c r="CR65" s="9">
        <f t="shared" si="19"/>
        <v>270</v>
      </c>
    </row>
    <row r="66" spans="1:96" ht="29.25">
      <c r="A66" t="str">
        <f t="shared" si="0"/>
        <v>271</v>
      </c>
      <c r="B66">
        <f t="shared" si="4"/>
        <v>271</v>
      </c>
      <c r="C66" s="15" t="s">
        <v>74</v>
      </c>
      <c r="D66" s="11"/>
      <c r="E66" s="9">
        <f>SUM(672.392289487131*0.5)</f>
        <v>336.19614474356553</v>
      </c>
      <c r="F66" s="9">
        <v>761.36390532544397</v>
      </c>
      <c r="G66" s="9">
        <v>825.39349112425998</v>
      </c>
      <c r="H66" s="9">
        <v>860.710059171598</v>
      </c>
      <c r="I66" s="9">
        <v>863.14792899408303</v>
      </c>
      <c r="J66" s="9">
        <v>862.92307692307702</v>
      </c>
      <c r="K66" s="9">
        <v>725.54979898815498</v>
      </c>
      <c r="L66" s="9">
        <v>719.74561403508801</v>
      </c>
      <c r="M66" s="9">
        <v>713.48245614035102</v>
      </c>
      <c r="N66" s="9">
        <v>797.68895348837202</v>
      </c>
      <c r="O66" s="9">
        <v>722.71220930232596</v>
      </c>
      <c r="P66" s="9">
        <v>663.11046511627899</v>
      </c>
      <c r="Q66" s="9">
        <v>581.38372093023304</v>
      </c>
      <c r="R66" s="9">
        <v>0</v>
      </c>
      <c r="S66" s="9">
        <v>0</v>
      </c>
      <c r="T66" s="9">
        <v>0</v>
      </c>
      <c r="U66" s="9">
        <v>9.5565542394088006</v>
      </c>
      <c r="V66" s="9">
        <v>29.2586886780139</v>
      </c>
      <c r="W66" s="9">
        <v>43.2155244797707</v>
      </c>
      <c r="X66" s="9">
        <v>23.146666900491301</v>
      </c>
      <c r="Y66" s="9">
        <v>0.79166666666666696</v>
      </c>
      <c r="Z66" s="9">
        <v>0.38888888888888901</v>
      </c>
      <c r="AA66" s="9">
        <v>1.0465116279069799</v>
      </c>
      <c r="AB66" s="9">
        <v>1.7345679012345701</v>
      </c>
      <c r="AC66" s="9">
        <v>2.5705128205128198</v>
      </c>
      <c r="AD66" s="9">
        <v>5.9830508474576298</v>
      </c>
      <c r="AE66" s="9">
        <v>5.6497175141242897</v>
      </c>
      <c r="AF66" s="9">
        <v>8.2372881355932197</v>
      </c>
      <c r="AG66" s="9">
        <v>4.8022598870056497</v>
      </c>
      <c r="AH66" s="9">
        <v>1</v>
      </c>
      <c r="AI66" s="9">
        <v>2.8571428571428598E-2</v>
      </c>
      <c r="AJ66" s="9">
        <v>1.1142857142857101</v>
      </c>
      <c r="AK66" s="9">
        <v>0.74285714285714299</v>
      </c>
      <c r="AL66" s="9">
        <v>3.22857142857143</v>
      </c>
      <c r="AM66" s="9">
        <v>4</v>
      </c>
      <c r="AN66" s="9">
        <v>7.7428571428571402</v>
      </c>
      <c r="AO66" s="9">
        <v>6.8857142857142897</v>
      </c>
      <c r="AP66" s="9">
        <v>1.6</v>
      </c>
      <c r="AQ66" s="9">
        <v>0.31137254901960798</v>
      </c>
      <c r="AR66" s="9">
        <v>4.5525490196078398</v>
      </c>
      <c r="AS66" s="9">
        <v>3.7494117647058798</v>
      </c>
      <c r="AT66" s="9">
        <v>9.1992156862744991</v>
      </c>
      <c r="AU66" s="9">
        <v>5.1094117647058797</v>
      </c>
      <c r="AV66" s="9">
        <v>7.64627450980392</v>
      </c>
      <c r="AW66" s="9">
        <v>1.2956862745097999</v>
      </c>
      <c r="AX66" s="9">
        <f t="shared" si="5"/>
        <v>10109.396326660461</v>
      </c>
      <c r="AY66" s="9">
        <f t="shared" si="6"/>
        <v>2922.8467803831109</v>
      </c>
      <c r="AZ66" s="9">
        <f t="shared" si="7"/>
        <v>3085.135472142088</v>
      </c>
      <c r="BA66" s="9">
        <f t="shared" si="8"/>
        <v>5501.9639872527978</v>
      </c>
      <c r="BB66" s="9">
        <f>SUM(AR66:AW66,AK66:AP66,AB66:AG66,S66:X66,L66:Q66)*1.05</f>
        <v>4607.4323394076637</v>
      </c>
      <c r="BC66" s="20"/>
      <c r="BD66" s="9">
        <v>4074.8</v>
      </c>
      <c r="BF66" s="9">
        <v>3597</v>
      </c>
      <c r="BH66" s="9">
        <v>1058</v>
      </c>
      <c r="BI66" s="9">
        <f t="shared" si="10"/>
        <v>1058</v>
      </c>
      <c r="BJ66" s="9">
        <f t="shared" si="27"/>
        <v>9433.4078242828309</v>
      </c>
      <c r="BK66" s="12">
        <f t="shared" si="23"/>
        <v>1058</v>
      </c>
      <c r="BP66" s="9">
        <v>75</v>
      </c>
      <c r="BQ66" s="9">
        <f t="shared" si="12"/>
        <v>75</v>
      </c>
      <c r="BR66" s="12">
        <f t="shared" si="13"/>
        <v>9433.4078242828309</v>
      </c>
      <c r="BS66" s="23">
        <f t="shared" si="24"/>
        <v>75</v>
      </c>
      <c r="BU66" s="9">
        <v>1078</v>
      </c>
      <c r="BW66" s="9">
        <v>144</v>
      </c>
      <c r="BX66" s="9">
        <v>732</v>
      </c>
      <c r="BY66" s="9">
        <v>823</v>
      </c>
      <c r="BZ66" s="9">
        <v>841</v>
      </c>
      <c r="CA66" s="9">
        <v>870</v>
      </c>
      <c r="CB66" s="9">
        <v>936</v>
      </c>
      <c r="CC66" s="9">
        <v>930</v>
      </c>
      <c r="CD66" s="9">
        <v>796</v>
      </c>
      <c r="CE66" s="9">
        <v>784</v>
      </c>
      <c r="CF66" s="9">
        <v>793</v>
      </c>
      <c r="CG66" s="9">
        <v>847</v>
      </c>
      <c r="CH66" s="9">
        <v>862</v>
      </c>
      <c r="CI66" s="9">
        <v>795</v>
      </c>
      <c r="CJ66" s="9">
        <v>737</v>
      </c>
      <c r="CK66" s="12">
        <f t="shared" si="25"/>
        <v>10380</v>
      </c>
      <c r="CL66" s="9">
        <f t="shared" si="15"/>
        <v>2900</v>
      </c>
      <c r="CM66" s="9">
        <f t="shared" si="16"/>
        <v>3241</v>
      </c>
      <c r="CN66" s="9">
        <f t="shared" si="17"/>
        <v>5562</v>
      </c>
      <c r="CO66" s="9">
        <f t="shared" si="26"/>
        <v>4818</v>
      </c>
      <c r="CQ66" s="9">
        <f t="shared" si="18"/>
        <v>5928</v>
      </c>
      <c r="CR66" s="9">
        <f t="shared" si="19"/>
        <v>4818</v>
      </c>
    </row>
    <row r="67" spans="1:96" ht="29.25">
      <c r="A67" t="str">
        <f t="shared" si="0"/>
        <v>272</v>
      </c>
      <c r="B67">
        <f t="shared" si="4"/>
        <v>272</v>
      </c>
      <c r="C67" s="15" t="s">
        <v>75</v>
      </c>
      <c r="D67" s="11"/>
      <c r="E67" s="9">
        <f>SUM(251.402366863905*0.5)</f>
        <v>125.7011834319525</v>
      </c>
      <c r="F67" s="9">
        <v>293.06102085183801</v>
      </c>
      <c r="G67" s="9">
        <v>288.79475292369801</v>
      </c>
      <c r="H67" s="9">
        <v>285.26984472998902</v>
      </c>
      <c r="I67" s="9">
        <v>326.119734134792</v>
      </c>
      <c r="J67" s="9">
        <v>314.818807912811</v>
      </c>
      <c r="K67" s="9">
        <v>301.85991411224597</v>
      </c>
      <c r="L67" s="9">
        <v>303.79289940828397</v>
      </c>
      <c r="M67" s="9">
        <v>342.41715976331398</v>
      </c>
      <c r="N67" s="9">
        <v>343.50211218023901</v>
      </c>
      <c r="O67" s="9">
        <v>373.64424589973498</v>
      </c>
      <c r="P67" s="9">
        <v>307.34421495606801</v>
      </c>
      <c r="Q67" s="9">
        <v>275.65255468968297</v>
      </c>
      <c r="R67" s="9">
        <v>0</v>
      </c>
      <c r="S67" s="9">
        <v>0</v>
      </c>
      <c r="T67" s="9">
        <v>0</v>
      </c>
      <c r="U67" s="9">
        <v>12.409376470588199</v>
      </c>
      <c r="V67" s="9">
        <v>16.666294117647102</v>
      </c>
      <c r="W67" s="9">
        <v>22.890763398692801</v>
      </c>
      <c r="X67" s="9">
        <v>30.4430823529412</v>
      </c>
      <c r="Y67" s="9">
        <v>0</v>
      </c>
      <c r="Z67" s="9">
        <v>0</v>
      </c>
      <c r="AA67" s="9">
        <v>0</v>
      </c>
      <c r="AB67" s="9">
        <v>0</v>
      </c>
      <c r="AC67" s="9">
        <v>0</v>
      </c>
      <c r="AD67" s="9">
        <v>0</v>
      </c>
      <c r="AE67" s="9">
        <v>0</v>
      </c>
      <c r="AF67" s="9">
        <v>0</v>
      </c>
      <c r="AG67" s="9">
        <v>0</v>
      </c>
      <c r="AH67" s="9">
        <v>0</v>
      </c>
      <c r="AI67" s="9">
        <v>0</v>
      </c>
      <c r="AJ67" s="9">
        <v>0</v>
      </c>
      <c r="AK67" s="9">
        <v>0</v>
      </c>
      <c r="AL67" s="9">
        <v>0</v>
      </c>
      <c r="AM67" s="9">
        <v>0</v>
      </c>
      <c r="AN67" s="9">
        <v>0</v>
      </c>
      <c r="AO67" s="9">
        <v>0</v>
      </c>
      <c r="AP67" s="9">
        <v>0</v>
      </c>
      <c r="AQ67" s="9">
        <v>0.68627450980392202</v>
      </c>
      <c r="AR67" s="9">
        <v>6.2294117647058798</v>
      </c>
      <c r="AS67" s="9">
        <v>7.0901960784313696</v>
      </c>
      <c r="AT67" s="9">
        <v>20.364705882352901</v>
      </c>
      <c r="AU67" s="9">
        <v>24.705882352941199</v>
      </c>
      <c r="AV67" s="9">
        <v>15.9294117647059</v>
      </c>
      <c r="AW67" s="9">
        <v>1.3176470588235301</v>
      </c>
      <c r="AX67" s="9">
        <f t="shared" si="5"/>
        <v>4242.7470652835964</v>
      </c>
      <c r="AY67" s="9">
        <f t="shared" si="6"/>
        <v>1042.4681420343513</v>
      </c>
      <c r="AZ67" s="9">
        <f t="shared" si="7"/>
        <v>1517.113805680639</v>
      </c>
      <c r="BA67" s="9">
        <f t="shared" si="8"/>
        <v>2033.1271092374873</v>
      </c>
      <c r="BB67" s="9">
        <f t="shared" si="9"/>
        <v>2209.6199560461109</v>
      </c>
      <c r="BC67" s="20"/>
      <c r="BD67" s="9">
        <v>1673</v>
      </c>
      <c r="BF67" s="9">
        <v>1579</v>
      </c>
      <c r="BH67" s="9">
        <v>422</v>
      </c>
      <c r="BI67" s="9">
        <f t="shared" si="10"/>
        <v>422</v>
      </c>
      <c r="BJ67" s="9">
        <f t="shared" si="27"/>
        <v>3881.9784449946487</v>
      </c>
      <c r="BK67" s="12">
        <f t="shared" si="23"/>
        <v>422</v>
      </c>
      <c r="BP67" s="9">
        <v>5</v>
      </c>
      <c r="BQ67" s="9">
        <f t="shared" si="12"/>
        <v>5</v>
      </c>
      <c r="BR67" s="12">
        <f t="shared" si="13"/>
        <v>3881.9784449946487</v>
      </c>
      <c r="BS67" s="23">
        <f t="shared" si="24"/>
        <v>5</v>
      </c>
      <c r="BU67" s="9">
        <v>135</v>
      </c>
      <c r="BW67" s="9">
        <v>31</v>
      </c>
      <c r="BX67" s="9">
        <v>312</v>
      </c>
      <c r="BY67" s="9">
        <v>290</v>
      </c>
      <c r="BZ67" s="9">
        <v>319</v>
      </c>
      <c r="CA67" s="9">
        <v>323</v>
      </c>
      <c r="CB67" s="9">
        <v>295</v>
      </c>
      <c r="CC67" s="9">
        <v>351</v>
      </c>
      <c r="CD67" s="9">
        <v>342</v>
      </c>
      <c r="CE67" s="9">
        <v>339</v>
      </c>
      <c r="CF67" s="9">
        <v>344</v>
      </c>
      <c r="CG67" s="9">
        <v>387</v>
      </c>
      <c r="CH67" s="9">
        <v>375</v>
      </c>
      <c r="CI67" s="9">
        <v>419</v>
      </c>
      <c r="CJ67" s="9">
        <v>347</v>
      </c>
      <c r="CK67" s="12">
        <f t="shared" si="25"/>
        <v>4287</v>
      </c>
      <c r="CL67" s="9">
        <f t="shared" si="15"/>
        <v>1088</v>
      </c>
      <c r="CM67" s="9">
        <f t="shared" si="16"/>
        <v>1528</v>
      </c>
      <c r="CN67" s="9">
        <f t="shared" si="17"/>
        <v>2076</v>
      </c>
      <c r="CO67" s="9">
        <f t="shared" si="26"/>
        <v>2211</v>
      </c>
      <c r="CQ67" s="9">
        <f t="shared" si="18"/>
        <v>2232</v>
      </c>
      <c r="CR67" s="9">
        <f t="shared" si="19"/>
        <v>2211</v>
      </c>
    </row>
    <row r="68" spans="1:96" ht="29.25">
      <c r="A68" t="str">
        <f t="shared" ref="A68:A131" si="28">RIGHT(C68,3)</f>
        <v>273</v>
      </c>
      <c r="B68">
        <f t="shared" si="4"/>
        <v>273</v>
      </c>
      <c r="C68" s="15" t="s">
        <v>76</v>
      </c>
      <c r="D68" s="11"/>
      <c r="E68" s="9">
        <f>SUM(381.595308981161*0.5)</f>
        <v>190.7976544905805</v>
      </c>
      <c r="F68" s="9">
        <v>430.12130177514803</v>
      </c>
      <c r="G68" s="9">
        <v>438.61242603550301</v>
      </c>
      <c r="H68" s="9">
        <v>456.18639053254401</v>
      </c>
      <c r="I68" s="9">
        <v>424.73461495829798</v>
      </c>
      <c r="J68" s="9">
        <v>496.29289940828397</v>
      </c>
      <c r="K68" s="9">
        <v>403.11834319526599</v>
      </c>
      <c r="L68" s="9">
        <v>427.66568047337302</v>
      </c>
      <c r="M68" s="9">
        <v>416.08284023668602</v>
      </c>
      <c r="N68" s="9">
        <v>456.85672514619898</v>
      </c>
      <c r="O68" s="9">
        <v>314.09064327485402</v>
      </c>
      <c r="P68" s="9">
        <v>336.08187134502901</v>
      </c>
      <c r="Q68" s="9">
        <v>301.32748538011703</v>
      </c>
      <c r="R68" s="9">
        <v>0</v>
      </c>
      <c r="S68" s="9">
        <v>0</v>
      </c>
      <c r="T68" s="9">
        <v>0</v>
      </c>
      <c r="U68" s="9">
        <v>11.2821052631579</v>
      </c>
      <c r="V68" s="9">
        <v>27.415756725146199</v>
      </c>
      <c r="W68" s="9">
        <v>42.878134502923999</v>
      </c>
      <c r="X68" s="9">
        <v>71.243708453051198</v>
      </c>
      <c r="Y68" s="9">
        <v>0</v>
      </c>
      <c r="Z68" s="9">
        <v>0</v>
      </c>
      <c r="AA68" s="9">
        <v>0</v>
      </c>
      <c r="AB68" s="9">
        <v>0</v>
      </c>
      <c r="AC68" s="9">
        <v>0</v>
      </c>
      <c r="AD68" s="9">
        <v>0</v>
      </c>
      <c r="AE68" s="9">
        <v>0</v>
      </c>
      <c r="AF68" s="9">
        <v>0</v>
      </c>
      <c r="AG68" s="9">
        <v>0</v>
      </c>
      <c r="AH68" s="9">
        <v>0</v>
      </c>
      <c r="AI68" s="9">
        <v>0</v>
      </c>
      <c r="AJ68" s="9">
        <v>0</v>
      </c>
      <c r="AK68" s="9">
        <v>0</v>
      </c>
      <c r="AL68" s="9">
        <v>0</v>
      </c>
      <c r="AM68" s="9">
        <v>0</v>
      </c>
      <c r="AN68" s="9">
        <v>0</v>
      </c>
      <c r="AO68" s="9">
        <v>0</v>
      </c>
      <c r="AP68" s="9">
        <v>0</v>
      </c>
      <c r="AQ68" s="9">
        <v>13.122980392156901</v>
      </c>
      <c r="AR68" s="9">
        <v>14.212196078431401</v>
      </c>
      <c r="AS68" s="9">
        <v>10.109215686274499</v>
      </c>
      <c r="AT68" s="9">
        <v>0</v>
      </c>
      <c r="AU68" s="9">
        <v>26.423019607843099</v>
      </c>
      <c r="AV68" s="9">
        <v>12.6807450980392</v>
      </c>
      <c r="AW68" s="9">
        <v>23.064627450980399</v>
      </c>
      <c r="AX68" s="9">
        <f t="shared" si="5"/>
        <v>5611.6214337853798</v>
      </c>
      <c r="AY68" s="9">
        <f t="shared" si="6"/>
        <v>1591.5036614754645</v>
      </c>
      <c r="AZ68" s="9">
        <f t="shared" si="7"/>
        <v>1704.512063359708</v>
      </c>
      <c r="BA68" s="9">
        <f t="shared" si="8"/>
        <v>2995.6359413271693</v>
      </c>
      <c r="BB68" s="9">
        <f t="shared" si="9"/>
        <v>2615.9854924582119</v>
      </c>
      <c r="BC68" s="20"/>
      <c r="BD68" s="9">
        <v>2506</v>
      </c>
      <c r="BF68" s="9">
        <v>2256</v>
      </c>
      <c r="BH68" s="9">
        <v>621</v>
      </c>
      <c r="BI68" s="9">
        <f t="shared" si="10"/>
        <v>621</v>
      </c>
      <c r="BJ68" s="9">
        <f t="shared" si="27"/>
        <v>5091.9688762518808</v>
      </c>
      <c r="BK68" s="12">
        <f t="shared" ref="BK68:BK99" si="29">IFERROR(BH68*1,SUM(E68:Q68)*$BJ$179)</f>
        <v>621</v>
      </c>
      <c r="BP68" s="9">
        <v>45</v>
      </c>
      <c r="BQ68" s="9">
        <f t="shared" si="12"/>
        <v>45</v>
      </c>
      <c r="BR68" s="12">
        <f t="shared" si="13"/>
        <v>5091.9688762518808</v>
      </c>
      <c r="BS68" s="23">
        <f t="shared" ref="BS68:BS99" si="30">IFERROR(BP68*1,SUM(E68:Q68)*$BR$179)</f>
        <v>45</v>
      </c>
      <c r="BU68" s="9">
        <v>426</v>
      </c>
      <c r="BW68" s="9">
        <v>62</v>
      </c>
      <c r="BX68" s="9">
        <v>417</v>
      </c>
      <c r="BY68" s="9">
        <v>493</v>
      </c>
      <c r="BZ68" s="9">
        <v>456</v>
      </c>
      <c r="CA68" s="9">
        <v>488</v>
      </c>
      <c r="CB68" s="9">
        <v>494</v>
      </c>
      <c r="CC68" s="9">
        <v>471</v>
      </c>
      <c r="CD68" s="9">
        <v>518</v>
      </c>
      <c r="CE68" s="9">
        <v>451</v>
      </c>
      <c r="CF68" s="9">
        <v>463</v>
      </c>
      <c r="CG68" s="9">
        <v>456</v>
      </c>
      <c r="CH68" s="9">
        <v>496</v>
      </c>
      <c r="CI68" s="9">
        <v>398</v>
      </c>
      <c r="CJ68" s="9">
        <v>397</v>
      </c>
      <c r="CK68" s="12">
        <f t="shared" ref="CK68:CK99" si="31">SUM(BY68,BZ68,CA68,CB68,CC68,CD68,CE68,CF68,CG68,CH68,CI68,CJ68) + (BX68*0.5)</f>
        <v>5789.5</v>
      </c>
      <c r="CL68" s="9">
        <f t="shared" si="15"/>
        <v>1645.5</v>
      </c>
      <c r="CM68" s="9">
        <f t="shared" si="16"/>
        <v>1747</v>
      </c>
      <c r="CN68" s="9">
        <f t="shared" si="17"/>
        <v>3128.5</v>
      </c>
      <c r="CO68" s="9">
        <f t="shared" si="26"/>
        <v>2661</v>
      </c>
      <c r="CQ68" s="9">
        <f t="shared" si="18"/>
        <v>3337</v>
      </c>
      <c r="CR68" s="9">
        <f t="shared" si="19"/>
        <v>2661</v>
      </c>
    </row>
    <row r="69" spans="1:96" ht="29.25">
      <c r="A69" t="str">
        <f t="shared" si="28"/>
        <v>274</v>
      </c>
      <c r="B69">
        <f t="shared" ref="B69:B132" si="32">A69*1</f>
        <v>274</v>
      </c>
      <c r="C69" s="15" t="s">
        <v>77</v>
      </c>
      <c r="D69" s="11"/>
      <c r="E69" s="9">
        <f>SUM(5.08771929824561*0.5)</f>
        <v>2.5438596491228052</v>
      </c>
      <c r="F69" s="9">
        <v>13.8888888888889</v>
      </c>
      <c r="G69" s="9">
        <v>6.9678362573099397</v>
      </c>
      <c r="H69" s="9">
        <v>9.0701754385964897</v>
      </c>
      <c r="I69" s="9">
        <v>8.6111111111111107</v>
      </c>
      <c r="J69" s="9">
        <v>8.7368421052631593</v>
      </c>
      <c r="K69" s="9">
        <v>9.2076023391812907</v>
      </c>
      <c r="L69" s="9">
        <v>6.45029239766082</v>
      </c>
      <c r="M69" s="9">
        <v>15.7046783625731</v>
      </c>
      <c r="N69" s="9">
        <v>13.4678362573099</v>
      </c>
      <c r="O69" s="9">
        <v>8.6988304093567308</v>
      </c>
      <c r="P69" s="9">
        <v>8.0058479532163709</v>
      </c>
      <c r="Q69" s="9">
        <v>15.397660818713501</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9">
        <v>0</v>
      </c>
      <c r="AS69" s="9">
        <v>0</v>
      </c>
      <c r="AT69" s="9">
        <v>0</v>
      </c>
      <c r="AU69" s="9">
        <v>0</v>
      </c>
      <c r="AV69" s="9">
        <v>0</v>
      </c>
      <c r="AW69" s="9">
        <v>0</v>
      </c>
      <c r="AX69" s="9">
        <f t="shared" ref="AX69:AX132" si="33">SUM(E69:AW69)*1.05</f>
        <v>133.08903508771934</v>
      </c>
      <c r="AY69" s="9">
        <f t="shared" ref="AY69:AY132" si="34">SUM(E69:H69)*1.05</f>
        <v>34.094298245614041</v>
      </c>
      <c r="AZ69" s="9">
        <f t="shared" ref="AZ69:AZ132" si="35">SUM(AT69:AW69,AM69:AP69,AD69:AG69,U69:X69,N69:Q69)*1.05</f>
        <v>47.848684210526329</v>
      </c>
      <c r="BA69" s="9">
        <f t="shared" ref="BA69:BA132" si="36">SUM(E69,AQ69,AH69:AJ69,Y69:AA69,R69,F69:K69)*1.05</f>
        <v>61.977631578947381</v>
      </c>
      <c r="BB69" s="9">
        <f t="shared" ref="BB69:BB132" si="37">SUM(AR69:AW69,AK69:AP69,AB69:AG69,S69:X69,L69:Q69)*1.05</f>
        <v>71.111403508771957</v>
      </c>
      <c r="BC69" s="20"/>
      <c r="BD69" s="9">
        <v>73</v>
      </c>
      <c r="BF69" s="9">
        <v>69</v>
      </c>
      <c r="BH69" s="9">
        <v>23</v>
      </c>
      <c r="BI69" s="9">
        <f t="shared" ref="BI69:BI132" si="38">IFERROR(BH69*1,"")</f>
        <v>23</v>
      </c>
      <c r="BJ69" s="9">
        <f t="shared" si="27"/>
        <v>126.75146198830413</v>
      </c>
      <c r="BK69" s="12">
        <f t="shared" si="29"/>
        <v>23</v>
      </c>
      <c r="BP69" s="9">
        <v>0</v>
      </c>
      <c r="BQ69" s="9">
        <f t="shared" ref="BQ69:BQ132" si="39">IFERROR(BP69*1,"")</f>
        <v>0</v>
      </c>
      <c r="BR69" s="12">
        <f t="shared" ref="BR69:BR132" si="40">IFERROR(IF(BP69=BQ69,SUM(E69:Q69),""),"")</f>
        <v>126.75146198830413</v>
      </c>
      <c r="BS69" s="23">
        <f t="shared" si="30"/>
        <v>0</v>
      </c>
      <c r="BU69" s="9">
        <v>0</v>
      </c>
      <c r="BW69" s="9">
        <v>1</v>
      </c>
      <c r="BX69" s="9">
        <v>13</v>
      </c>
      <c r="BY69" s="9">
        <v>7</v>
      </c>
      <c r="BZ69" s="9">
        <v>15</v>
      </c>
      <c r="CA69" s="9">
        <v>7</v>
      </c>
      <c r="CB69" s="9">
        <v>10</v>
      </c>
      <c r="CC69" s="9">
        <v>10</v>
      </c>
      <c r="CD69" s="9">
        <v>12</v>
      </c>
      <c r="CE69" s="9">
        <v>9</v>
      </c>
      <c r="CF69" s="9">
        <v>5</v>
      </c>
      <c r="CG69" s="9">
        <v>18</v>
      </c>
      <c r="CH69" s="9">
        <v>14</v>
      </c>
      <c r="CI69" s="9">
        <v>12</v>
      </c>
      <c r="CJ69" s="9">
        <v>10</v>
      </c>
      <c r="CK69" s="12">
        <f t="shared" si="31"/>
        <v>135.5</v>
      </c>
      <c r="CL69" s="9">
        <f t="shared" ref="CL69:CL132" si="41">SUM(BY69:CA69) +( BX69*0.5)</f>
        <v>35.5</v>
      </c>
      <c r="CM69" s="9">
        <f t="shared" ref="CM69:CM132" si="42">SUM(CG69:CJ69)</f>
        <v>54</v>
      </c>
      <c r="CN69" s="9">
        <f t="shared" ref="CN69:CN132" si="43">SUM(BY69:CD69) + (BX69*0.5)</f>
        <v>67.5</v>
      </c>
      <c r="CO69" s="9">
        <f t="shared" si="26"/>
        <v>100</v>
      </c>
      <c r="CQ69" s="9">
        <f t="shared" ref="CQ69:CQ132" si="44">SUM(BX69:CD69)</f>
        <v>74</v>
      </c>
      <c r="CR69" s="9">
        <f t="shared" ref="CR69:CR132" si="45">SUM(CE69:CJ69)</f>
        <v>68</v>
      </c>
    </row>
    <row r="70" spans="1:96" ht="29.25">
      <c r="A70" t="str">
        <f t="shared" si="28"/>
        <v>281</v>
      </c>
      <c r="B70">
        <f t="shared" si="32"/>
        <v>281</v>
      </c>
      <c r="C70" s="15" t="s">
        <v>78</v>
      </c>
      <c r="D70" s="11"/>
      <c r="E70" s="9">
        <f>SUM(171.209302325581*0.5)</f>
        <v>85.604651162790503</v>
      </c>
      <c r="F70" s="9">
        <v>165.761627906977</v>
      </c>
      <c r="G70" s="9">
        <v>143.398255813953</v>
      </c>
      <c r="H70" s="9">
        <v>175.392441860465</v>
      </c>
      <c r="I70" s="9">
        <v>162.56395348837199</v>
      </c>
      <c r="J70" s="9">
        <v>160.68023255814001</v>
      </c>
      <c r="K70" s="9">
        <v>193.380813953488</v>
      </c>
      <c r="L70" s="9">
        <v>144.523255813953</v>
      </c>
      <c r="M70" s="9">
        <v>163.37209302325601</v>
      </c>
      <c r="N70" s="9">
        <v>177.14534883720901</v>
      </c>
      <c r="O70" s="9">
        <v>181.35465116279099</v>
      </c>
      <c r="P70" s="9">
        <v>194.648255813953</v>
      </c>
      <c r="Q70" s="9">
        <v>155.16279069767401</v>
      </c>
      <c r="R70" s="9">
        <v>0</v>
      </c>
      <c r="S70" s="9">
        <v>0</v>
      </c>
      <c r="T70" s="9">
        <v>0</v>
      </c>
      <c r="U70" s="9">
        <v>0</v>
      </c>
      <c r="V70" s="9">
        <v>1.9029225581395399</v>
      </c>
      <c r="W70" s="9">
        <v>4.9922065116279102</v>
      </c>
      <c r="X70" s="9">
        <v>9.2255186046511604</v>
      </c>
      <c r="Y70" s="9">
        <v>0</v>
      </c>
      <c r="Z70" s="9">
        <v>0</v>
      </c>
      <c r="AA70" s="9">
        <v>0</v>
      </c>
      <c r="AB70" s="9">
        <v>0</v>
      </c>
      <c r="AC70" s="9">
        <v>0</v>
      </c>
      <c r="AD70" s="9">
        <v>0</v>
      </c>
      <c r="AE70" s="9">
        <v>0</v>
      </c>
      <c r="AF70" s="9">
        <v>0</v>
      </c>
      <c r="AG70" s="9">
        <v>0</v>
      </c>
      <c r="AH70" s="9">
        <v>0</v>
      </c>
      <c r="AI70" s="9">
        <v>0</v>
      </c>
      <c r="AJ70" s="9">
        <v>0</v>
      </c>
      <c r="AK70" s="9">
        <v>0</v>
      </c>
      <c r="AL70" s="9">
        <v>0</v>
      </c>
      <c r="AM70" s="9">
        <v>0</v>
      </c>
      <c r="AN70" s="9">
        <v>0</v>
      </c>
      <c r="AO70" s="9">
        <v>0</v>
      </c>
      <c r="AP70" s="9">
        <v>0</v>
      </c>
      <c r="AQ70" s="9">
        <v>0</v>
      </c>
      <c r="AR70" s="9">
        <v>0</v>
      </c>
      <c r="AS70" s="9">
        <v>0</v>
      </c>
      <c r="AT70" s="9">
        <v>0</v>
      </c>
      <c r="AU70" s="9">
        <v>0</v>
      </c>
      <c r="AV70" s="9">
        <v>0</v>
      </c>
      <c r="AW70" s="9">
        <v>0</v>
      </c>
      <c r="AX70" s="9">
        <f t="shared" si="33"/>
        <v>2225.0644707558122</v>
      </c>
      <c r="AY70" s="9">
        <f t="shared" si="34"/>
        <v>598.66482558139478</v>
      </c>
      <c r="AZ70" s="9">
        <f t="shared" si="35"/>
        <v>760.65327889534797</v>
      </c>
      <c r="BA70" s="9">
        <f t="shared" si="36"/>
        <v>1141.121075581395</v>
      </c>
      <c r="BB70" s="9">
        <f t="shared" si="37"/>
        <v>1083.9433951744174</v>
      </c>
      <c r="BC70" s="20"/>
      <c r="BD70" s="9">
        <v>764</v>
      </c>
      <c r="BE70" s="9">
        <v>716</v>
      </c>
      <c r="BF70" s="9">
        <v>702</v>
      </c>
      <c r="BH70" s="9">
        <v>267</v>
      </c>
      <c r="BI70" s="9">
        <f t="shared" si="38"/>
        <v>267</v>
      </c>
      <c r="BJ70" s="9">
        <f t="shared" si="27"/>
        <v>2102.9883720930216</v>
      </c>
      <c r="BK70" s="12">
        <f t="shared" si="29"/>
        <v>267</v>
      </c>
      <c r="BP70" s="9">
        <v>76</v>
      </c>
      <c r="BQ70" s="9">
        <f t="shared" si="39"/>
        <v>76</v>
      </c>
      <c r="BR70" s="12">
        <f t="shared" si="40"/>
        <v>2102.9883720930216</v>
      </c>
      <c r="BS70" s="23">
        <f t="shared" si="30"/>
        <v>76</v>
      </c>
      <c r="BU70" s="9">
        <v>155</v>
      </c>
      <c r="BW70" s="9">
        <v>34</v>
      </c>
      <c r="BX70" s="9">
        <v>172</v>
      </c>
      <c r="BY70" s="9">
        <v>174</v>
      </c>
      <c r="BZ70" s="9">
        <v>167</v>
      </c>
      <c r="CA70" s="9">
        <v>143</v>
      </c>
      <c r="CB70" s="9">
        <v>175</v>
      </c>
      <c r="CC70" s="9">
        <v>172</v>
      </c>
      <c r="CD70" s="9">
        <v>181</v>
      </c>
      <c r="CE70" s="9">
        <v>194</v>
      </c>
      <c r="CF70" s="9">
        <v>163</v>
      </c>
      <c r="CG70" s="9">
        <v>198</v>
      </c>
      <c r="CH70" s="9">
        <v>181</v>
      </c>
      <c r="CI70" s="9">
        <v>200</v>
      </c>
      <c r="CJ70" s="9">
        <v>211</v>
      </c>
      <c r="CK70" s="12">
        <f t="shared" si="31"/>
        <v>2245</v>
      </c>
      <c r="CL70" s="9">
        <f t="shared" si="41"/>
        <v>570</v>
      </c>
      <c r="CM70" s="9">
        <f t="shared" si="42"/>
        <v>790</v>
      </c>
      <c r="CN70" s="9">
        <f t="shared" si="43"/>
        <v>1098</v>
      </c>
      <c r="CO70" s="9">
        <f t="shared" si="26"/>
        <v>1147</v>
      </c>
      <c r="CQ70" s="9">
        <f t="shared" si="44"/>
        <v>1184</v>
      </c>
      <c r="CR70" s="9">
        <f t="shared" si="45"/>
        <v>1147</v>
      </c>
    </row>
    <row r="71" spans="1:96" ht="29.25">
      <c r="A71" t="str">
        <f t="shared" si="28"/>
        <v>282</v>
      </c>
      <c r="B71">
        <f t="shared" si="32"/>
        <v>282</v>
      </c>
      <c r="C71" s="15" t="s">
        <v>79</v>
      </c>
      <c r="D71" s="11"/>
      <c r="E71" s="9">
        <f>SUM(22.4298780487805*0.5)</f>
        <v>11.214939024390249</v>
      </c>
      <c r="F71" s="9">
        <v>22.219512195122</v>
      </c>
      <c r="G71" s="9">
        <v>23.591463414634099</v>
      </c>
      <c r="H71" s="9">
        <v>23.631097560975601</v>
      </c>
      <c r="I71" s="9">
        <v>17.356707317073202</v>
      </c>
      <c r="J71" s="9">
        <v>17.246951219512201</v>
      </c>
      <c r="K71" s="9">
        <v>20.207317073170699</v>
      </c>
      <c r="L71" s="9">
        <v>23.381097560975601</v>
      </c>
      <c r="M71" s="9">
        <v>25.371951219512201</v>
      </c>
      <c r="N71" s="9">
        <v>23.887195121951201</v>
      </c>
      <c r="O71" s="9">
        <v>27.841463414634099</v>
      </c>
      <c r="P71" s="9">
        <v>21.484756097561</v>
      </c>
      <c r="Q71" s="9">
        <v>27.381987577639801</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0</v>
      </c>
      <c r="AM71" s="9">
        <v>0</v>
      </c>
      <c r="AN71" s="9">
        <v>0</v>
      </c>
      <c r="AO71" s="9">
        <v>0</v>
      </c>
      <c r="AP71" s="9">
        <v>0</v>
      </c>
      <c r="AQ71" s="9">
        <v>0</v>
      </c>
      <c r="AR71" s="9">
        <v>0</v>
      </c>
      <c r="AS71" s="9">
        <v>0</v>
      </c>
      <c r="AT71" s="9">
        <v>0</v>
      </c>
      <c r="AU71" s="9">
        <v>0</v>
      </c>
      <c r="AV71" s="9">
        <v>0</v>
      </c>
      <c r="AW71" s="9">
        <v>0</v>
      </c>
      <c r="AX71" s="9">
        <f t="shared" si="33"/>
        <v>299.05726073700953</v>
      </c>
      <c r="AY71" s="9">
        <f t="shared" si="34"/>
        <v>84.689862804878047</v>
      </c>
      <c r="AZ71" s="9">
        <f t="shared" si="35"/>
        <v>105.62517232237542</v>
      </c>
      <c r="BA71" s="9">
        <f t="shared" si="36"/>
        <v>142.24138719512194</v>
      </c>
      <c r="BB71" s="9">
        <f t="shared" si="37"/>
        <v>156.81587354188761</v>
      </c>
      <c r="BC71" s="20"/>
      <c r="BD71" s="9">
        <v>70</v>
      </c>
      <c r="BF71" s="9">
        <v>57</v>
      </c>
      <c r="BH71" s="9">
        <v>28</v>
      </c>
      <c r="BI71" s="9">
        <f t="shared" si="38"/>
        <v>28</v>
      </c>
      <c r="BJ71" s="9">
        <f t="shared" si="27"/>
        <v>284.81643879715193</v>
      </c>
      <c r="BK71" s="12">
        <f t="shared" si="29"/>
        <v>28</v>
      </c>
      <c r="BP71" s="9">
        <v>0</v>
      </c>
      <c r="BQ71" s="9">
        <f t="shared" si="39"/>
        <v>0</v>
      </c>
      <c r="BR71" s="12">
        <f t="shared" si="40"/>
        <v>284.81643879715193</v>
      </c>
      <c r="BS71" s="23">
        <f t="shared" si="30"/>
        <v>0</v>
      </c>
      <c r="BU71" s="9">
        <v>13</v>
      </c>
      <c r="BW71" s="9">
        <v>8</v>
      </c>
      <c r="BX71" s="9">
        <v>20</v>
      </c>
      <c r="BY71" s="9">
        <v>25</v>
      </c>
      <c r="BZ71" s="9">
        <v>19</v>
      </c>
      <c r="CA71" s="9">
        <v>25</v>
      </c>
      <c r="CB71" s="9">
        <v>22</v>
      </c>
      <c r="CC71" s="9">
        <v>17</v>
      </c>
      <c r="CD71" s="9">
        <v>17</v>
      </c>
      <c r="CE71" s="9">
        <v>22</v>
      </c>
      <c r="CF71" s="9">
        <v>22</v>
      </c>
      <c r="CG71" s="9">
        <v>24</v>
      </c>
      <c r="CH71" s="9">
        <v>26</v>
      </c>
      <c r="CI71" s="9">
        <v>31</v>
      </c>
      <c r="CJ71" s="9">
        <v>22</v>
      </c>
      <c r="CK71" s="12">
        <f t="shared" si="31"/>
        <v>282</v>
      </c>
      <c r="CL71" s="9">
        <f t="shared" si="41"/>
        <v>79</v>
      </c>
      <c r="CM71" s="9">
        <f t="shared" si="42"/>
        <v>103</v>
      </c>
      <c r="CN71" s="9">
        <f t="shared" si="43"/>
        <v>135</v>
      </c>
      <c r="CO71" s="9">
        <f t="shared" si="26"/>
        <v>147</v>
      </c>
      <c r="CQ71" s="9">
        <f t="shared" si="44"/>
        <v>145</v>
      </c>
      <c r="CR71" s="9">
        <f t="shared" si="45"/>
        <v>147</v>
      </c>
    </row>
    <row r="72" spans="1:96" ht="29.25">
      <c r="A72" t="str">
        <f t="shared" si="28"/>
        <v>283</v>
      </c>
      <c r="B72">
        <f t="shared" si="32"/>
        <v>283</v>
      </c>
      <c r="C72" s="15" t="s">
        <v>80</v>
      </c>
      <c r="D72" s="11"/>
      <c r="E72" s="9">
        <f>SUM(13.7616279069767*0.5)</f>
        <v>6.8808139534883503</v>
      </c>
      <c r="F72" s="9">
        <v>14.406976744186</v>
      </c>
      <c r="G72" s="9">
        <v>22.1279069767442</v>
      </c>
      <c r="H72" s="9">
        <v>13.895348837209299</v>
      </c>
      <c r="I72" s="9">
        <v>25.735465116279101</v>
      </c>
      <c r="J72" s="9">
        <v>22.6540697674419</v>
      </c>
      <c r="K72" s="9">
        <v>22.0959302325581</v>
      </c>
      <c r="L72" s="9">
        <v>18.7209302325581</v>
      </c>
      <c r="M72" s="9">
        <v>16.3459302325581</v>
      </c>
      <c r="N72" s="9">
        <v>10.2354651162791</v>
      </c>
      <c r="O72" s="9">
        <v>16.488372093023301</v>
      </c>
      <c r="P72" s="9">
        <v>7.5726744186046497</v>
      </c>
      <c r="Q72" s="9">
        <v>15.037790697674399</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9">
        <v>0</v>
      </c>
      <c r="AS72" s="9">
        <v>0</v>
      </c>
      <c r="AT72" s="9">
        <v>0</v>
      </c>
      <c r="AU72" s="9">
        <v>0</v>
      </c>
      <c r="AV72" s="9">
        <v>0</v>
      </c>
      <c r="AW72" s="9">
        <v>0</v>
      </c>
      <c r="AX72" s="9">
        <f t="shared" si="33"/>
        <v>222.80755813953488</v>
      </c>
      <c r="AY72" s="9">
        <f t="shared" si="34"/>
        <v>60.176598837209248</v>
      </c>
      <c r="AZ72" s="9">
        <f t="shared" si="35"/>
        <v>51.801017441860523</v>
      </c>
      <c r="BA72" s="9">
        <f t="shared" si="36"/>
        <v>134.18633720930231</v>
      </c>
      <c r="BB72" s="9">
        <f t="shared" si="37"/>
        <v>88.621220930232539</v>
      </c>
      <c r="BC72" s="20"/>
      <c r="BD72" s="9">
        <v>104</v>
      </c>
      <c r="BF72" s="9">
        <v>85</v>
      </c>
      <c r="BH72" s="9">
        <v>39</v>
      </c>
      <c r="BI72" s="9">
        <f t="shared" si="38"/>
        <v>39</v>
      </c>
      <c r="BJ72" s="9">
        <f t="shared" si="27"/>
        <v>212.19767441860463</v>
      </c>
      <c r="BK72" s="12">
        <f t="shared" si="29"/>
        <v>39</v>
      </c>
      <c r="BP72" s="9">
        <v>0</v>
      </c>
      <c r="BQ72" s="9">
        <f t="shared" si="39"/>
        <v>0</v>
      </c>
      <c r="BR72" s="12">
        <f t="shared" si="40"/>
        <v>212.19767441860463</v>
      </c>
      <c r="BS72" s="23">
        <f t="shared" si="30"/>
        <v>0</v>
      </c>
      <c r="BU72" s="9">
        <v>7</v>
      </c>
      <c r="BW72" s="9">
        <v>2</v>
      </c>
      <c r="BX72" s="9">
        <v>22</v>
      </c>
      <c r="BY72" s="9">
        <v>14</v>
      </c>
      <c r="BZ72" s="9">
        <v>18</v>
      </c>
      <c r="CA72" s="9">
        <v>19</v>
      </c>
      <c r="CB72" s="9">
        <v>16</v>
      </c>
      <c r="CC72" s="9">
        <v>26</v>
      </c>
      <c r="CD72" s="9">
        <v>24</v>
      </c>
      <c r="CE72" s="9">
        <v>25</v>
      </c>
      <c r="CF72" s="9">
        <v>18</v>
      </c>
      <c r="CG72" s="9">
        <v>19</v>
      </c>
      <c r="CH72" s="9">
        <v>10</v>
      </c>
      <c r="CI72" s="9">
        <v>18</v>
      </c>
      <c r="CJ72" s="9">
        <v>7</v>
      </c>
      <c r="CK72" s="12">
        <f t="shared" si="31"/>
        <v>225</v>
      </c>
      <c r="CL72" s="9">
        <f t="shared" si="41"/>
        <v>62</v>
      </c>
      <c r="CM72" s="9">
        <f t="shared" si="42"/>
        <v>54</v>
      </c>
      <c r="CN72" s="9">
        <f t="shared" si="43"/>
        <v>128</v>
      </c>
      <c r="CO72" s="9">
        <f t="shared" si="26"/>
        <v>100</v>
      </c>
      <c r="CQ72" s="9">
        <f t="shared" si="44"/>
        <v>139</v>
      </c>
      <c r="CR72" s="9">
        <f t="shared" si="45"/>
        <v>97</v>
      </c>
    </row>
    <row r="73" spans="1:96" ht="29.25">
      <c r="A73" t="str">
        <f t="shared" si="28"/>
        <v>285</v>
      </c>
      <c r="B73">
        <f t="shared" si="32"/>
        <v>285</v>
      </c>
      <c r="C73" s="15" t="s">
        <v>81</v>
      </c>
      <c r="D73" s="11"/>
      <c r="E73" s="9">
        <f>SUM(26.9329268292683*0.5)</f>
        <v>13.46646341463415</v>
      </c>
      <c r="F73" s="9">
        <v>34.307926829268297</v>
      </c>
      <c r="G73" s="9">
        <v>36.75</v>
      </c>
      <c r="H73" s="9">
        <v>31.094512195122</v>
      </c>
      <c r="I73" s="9">
        <v>28.490853658536601</v>
      </c>
      <c r="J73" s="9">
        <v>39.472560975609802</v>
      </c>
      <c r="K73" s="9">
        <v>32.655487804878</v>
      </c>
      <c r="L73" s="9">
        <v>37.783536585365901</v>
      </c>
      <c r="M73" s="9">
        <v>31.6768292682927</v>
      </c>
      <c r="N73" s="9">
        <v>27.466463414634099</v>
      </c>
      <c r="O73" s="9">
        <v>45.335365853658502</v>
      </c>
      <c r="P73" s="9">
        <v>23.365853658536601</v>
      </c>
      <c r="Q73" s="9">
        <v>22.5579268292683</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0</v>
      </c>
      <c r="AU73" s="9">
        <v>0</v>
      </c>
      <c r="AV73" s="9">
        <v>0</v>
      </c>
      <c r="AW73" s="9">
        <v>0</v>
      </c>
      <c r="AX73" s="9">
        <f t="shared" si="33"/>
        <v>424.64496951219525</v>
      </c>
      <c r="AY73" s="9">
        <f t="shared" si="34"/>
        <v>121.39984756097569</v>
      </c>
      <c r="AZ73" s="9">
        <f t="shared" si="35"/>
        <v>124.66189024390238</v>
      </c>
      <c r="BA73" s="9">
        <f t="shared" si="36"/>
        <v>227.04969512195129</v>
      </c>
      <c r="BB73" s="9">
        <f t="shared" si="37"/>
        <v>197.5952743902439</v>
      </c>
      <c r="BC73" s="20"/>
      <c r="BD73" s="9">
        <v>143</v>
      </c>
      <c r="BF73" s="9">
        <v>147</v>
      </c>
      <c r="BH73" s="9">
        <v>59</v>
      </c>
      <c r="BI73" s="9">
        <f t="shared" si="38"/>
        <v>59</v>
      </c>
      <c r="BJ73" s="9">
        <f t="shared" si="27"/>
        <v>404.423780487805</v>
      </c>
      <c r="BK73" s="12">
        <f t="shared" si="29"/>
        <v>59</v>
      </c>
      <c r="BP73" s="9">
        <v>0</v>
      </c>
      <c r="BQ73" s="9">
        <f t="shared" si="39"/>
        <v>0</v>
      </c>
      <c r="BR73" s="12">
        <f t="shared" si="40"/>
        <v>404.423780487805</v>
      </c>
      <c r="BS73" s="23">
        <f t="shared" si="30"/>
        <v>0</v>
      </c>
      <c r="BU73" s="9">
        <v>3</v>
      </c>
      <c r="BW73" s="9">
        <v>5</v>
      </c>
      <c r="BX73" s="9">
        <v>35</v>
      </c>
      <c r="BY73" s="9">
        <v>32</v>
      </c>
      <c r="BZ73" s="9">
        <v>35</v>
      </c>
      <c r="CA73" s="9">
        <v>39</v>
      </c>
      <c r="CB73" s="9">
        <v>36</v>
      </c>
      <c r="CC73" s="9">
        <v>30</v>
      </c>
      <c r="CD73" s="9">
        <v>42</v>
      </c>
      <c r="CE73" s="9">
        <v>35</v>
      </c>
      <c r="CF73" s="9">
        <v>41</v>
      </c>
      <c r="CG73" s="9">
        <v>33</v>
      </c>
      <c r="CH73" s="9">
        <v>28</v>
      </c>
      <c r="CI73" s="9">
        <v>50</v>
      </c>
      <c r="CJ73" s="9">
        <v>28</v>
      </c>
      <c r="CK73" s="12">
        <f t="shared" si="31"/>
        <v>446.5</v>
      </c>
      <c r="CL73" s="9">
        <f t="shared" si="41"/>
        <v>123.5</v>
      </c>
      <c r="CM73" s="9">
        <f t="shared" si="42"/>
        <v>139</v>
      </c>
      <c r="CN73" s="9">
        <f t="shared" si="43"/>
        <v>231.5</v>
      </c>
      <c r="CO73" s="9">
        <f t="shared" si="26"/>
        <v>215</v>
      </c>
      <c r="CQ73" s="9">
        <f t="shared" si="44"/>
        <v>249</v>
      </c>
      <c r="CR73" s="9">
        <f t="shared" si="45"/>
        <v>215</v>
      </c>
    </row>
    <row r="74" spans="1:96" ht="29.25">
      <c r="A74" t="str">
        <f t="shared" si="28"/>
        <v>287</v>
      </c>
      <c r="B74">
        <f t="shared" si="32"/>
        <v>287</v>
      </c>
      <c r="C74" s="15" t="s">
        <v>82</v>
      </c>
      <c r="D74" s="11"/>
      <c r="E74" s="9">
        <f>SUM(19.0710059171598*0.5)</f>
        <v>9.5355029585798992</v>
      </c>
      <c r="F74" s="9">
        <v>14.056213017751499</v>
      </c>
      <c r="G74" s="9">
        <v>16.931952662721901</v>
      </c>
      <c r="H74" s="9">
        <v>23.322485207100598</v>
      </c>
      <c r="I74" s="9">
        <v>15.249834037024399</v>
      </c>
      <c r="J74" s="9">
        <v>18.130177514792901</v>
      </c>
      <c r="K74" s="9">
        <v>14.4792899408284</v>
      </c>
      <c r="L74" s="9">
        <v>18.713017751479299</v>
      </c>
      <c r="M74" s="9">
        <v>22.3550295857988</v>
      </c>
      <c r="N74" s="9">
        <v>14.464497041420101</v>
      </c>
      <c r="O74" s="9">
        <v>27.834319526627201</v>
      </c>
      <c r="P74" s="9">
        <v>18.665680473372799</v>
      </c>
      <c r="Q74" s="9">
        <v>24.857988165680499</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9">
        <v>0</v>
      </c>
      <c r="AS74" s="9">
        <v>0</v>
      </c>
      <c r="AT74" s="9">
        <v>0</v>
      </c>
      <c r="AU74" s="9">
        <v>0</v>
      </c>
      <c r="AV74" s="9">
        <v>0</v>
      </c>
      <c r="AW74" s="9">
        <v>0</v>
      </c>
      <c r="AX74" s="9">
        <f t="shared" si="33"/>
        <v>250.5257872773372</v>
      </c>
      <c r="AY74" s="9">
        <f t="shared" si="34"/>
        <v>67.03846153846159</v>
      </c>
      <c r="AZ74" s="9">
        <f t="shared" si="35"/>
        <v>90.113609467455632</v>
      </c>
      <c r="BA74" s="9">
        <f t="shared" si="36"/>
        <v>117.29072810573957</v>
      </c>
      <c r="BB74" s="9">
        <f t="shared" si="37"/>
        <v>133.23505917159764</v>
      </c>
      <c r="BC74" s="20"/>
      <c r="BD74" s="9">
        <v>56</v>
      </c>
      <c r="BF74" s="9">
        <v>73</v>
      </c>
      <c r="BH74" s="9">
        <v>30</v>
      </c>
      <c r="BI74" s="9">
        <f t="shared" si="38"/>
        <v>30</v>
      </c>
      <c r="BJ74" s="9">
        <f t="shared" si="27"/>
        <v>238.59598788317828</v>
      </c>
      <c r="BK74" s="12">
        <f t="shared" si="29"/>
        <v>30</v>
      </c>
      <c r="BP74" s="9">
        <v>0</v>
      </c>
      <c r="BQ74" s="9">
        <f t="shared" si="39"/>
        <v>0</v>
      </c>
      <c r="BR74" s="12">
        <f t="shared" si="40"/>
        <v>238.59598788317828</v>
      </c>
      <c r="BS74" s="23">
        <f t="shared" si="30"/>
        <v>0</v>
      </c>
      <c r="BU74" s="9">
        <v>10</v>
      </c>
      <c r="BW74" s="9">
        <v>2</v>
      </c>
      <c r="BX74" s="9">
        <v>19</v>
      </c>
      <c r="BY74" s="9">
        <v>19</v>
      </c>
      <c r="BZ74" s="9">
        <v>17</v>
      </c>
      <c r="CA74" s="9">
        <v>22</v>
      </c>
      <c r="CB74" s="9">
        <v>25</v>
      </c>
      <c r="CC74" s="9">
        <v>15</v>
      </c>
      <c r="CD74" s="9">
        <v>23</v>
      </c>
      <c r="CE74" s="9">
        <v>24</v>
      </c>
      <c r="CF74" s="9">
        <v>20</v>
      </c>
      <c r="CG74" s="9">
        <v>29</v>
      </c>
      <c r="CH74" s="9">
        <v>16</v>
      </c>
      <c r="CI74" s="9">
        <v>26</v>
      </c>
      <c r="CJ74" s="9">
        <v>16</v>
      </c>
      <c r="CK74" s="12">
        <f t="shared" si="31"/>
        <v>261.5</v>
      </c>
      <c r="CL74" s="9">
        <f t="shared" si="41"/>
        <v>67.5</v>
      </c>
      <c r="CM74" s="9">
        <f t="shared" si="42"/>
        <v>87</v>
      </c>
      <c r="CN74" s="9">
        <f t="shared" si="43"/>
        <v>130.5</v>
      </c>
      <c r="CO74" s="9">
        <f t="shared" si="26"/>
        <v>131</v>
      </c>
      <c r="CQ74" s="9">
        <f t="shared" si="44"/>
        <v>140</v>
      </c>
      <c r="CR74" s="9">
        <f t="shared" si="45"/>
        <v>131</v>
      </c>
    </row>
    <row r="75" spans="1:96" ht="29.25">
      <c r="A75" t="str">
        <f t="shared" si="28"/>
        <v>288</v>
      </c>
      <c r="B75">
        <f t="shared" si="32"/>
        <v>288</v>
      </c>
      <c r="C75" s="15" t="s">
        <v>83</v>
      </c>
      <c r="D75" s="11"/>
      <c r="E75" s="9">
        <f>SUM(16.5901162790698*0.5)</f>
        <v>8.2950581395349001</v>
      </c>
      <c r="F75" s="9">
        <v>15.326589595375699</v>
      </c>
      <c r="G75" s="9">
        <v>16.789017341040498</v>
      </c>
      <c r="H75" s="9">
        <v>15.4595375722543</v>
      </c>
      <c r="I75" s="9">
        <v>21.393063583815</v>
      </c>
      <c r="J75" s="9">
        <v>12.2341040462428</v>
      </c>
      <c r="K75" s="9">
        <v>17.005780346820799</v>
      </c>
      <c r="L75" s="9">
        <v>21.572254335260101</v>
      </c>
      <c r="M75" s="9">
        <v>13.393063583815</v>
      </c>
      <c r="N75" s="9">
        <v>26.329479768786101</v>
      </c>
      <c r="O75" s="9">
        <v>15.283236994219701</v>
      </c>
      <c r="P75" s="9">
        <v>14.6531791907514</v>
      </c>
      <c r="Q75" s="9">
        <v>18.066473988439299</v>
      </c>
      <c r="R75" s="9">
        <v>0</v>
      </c>
      <c r="S75" s="9">
        <v>0</v>
      </c>
      <c r="T75" s="9">
        <v>0</v>
      </c>
      <c r="U75" s="9">
        <v>0</v>
      </c>
      <c r="V75" s="9">
        <v>0</v>
      </c>
      <c r="W75" s="9">
        <v>0</v>
      </c>
      <c r="X75" s="9">
        <v>0</v>
      </c>
      <c r="Y75" s="9">
        <v>0</v>
      </c>
      <c r="Z75" s="9">
        <v>0</v>
      </c>
      <c r="AA75" s="9">
        <v>0</v>
      </c>
      <c r="AB75" s="9">
        <v>0</v>
      </c>
      <c r="AC75" s="9">
        <v>0</v>
      </c>
      <c r="AD75" s="9">
        <v>0</v>
      </c>
      <c r="AE75" s="9">
        <v>0</v>
      </c>
      <c r="AF75" s="9">
        <v>0</v>
      </c>
      <c r="AG75" s="9">
        <v>0</v>
      </c>
      <c r="AH75" s="9">
        <v>0</v>
      </c>
      <c r="AI75" s="9">
        <v>0</v>
      </c>
      <c r="AJ75" s="9">
        <v>0</v>
      </c>
      <c r="AK75" s="9">
        <v>0</v>
      </c>
      <c r="AL75" s="9">
        <v>0</v>
      </c>
      <c r="AM75" s="9">
        <v>0</v>
      </c>
      <c r="AN75" s="9">
        <v>0</v>
      </c>
      <c r="AO75" s="9">
        <v>0</v>
      </c>
      <c r="AP75" s="9">
        <v>0</v>
      </c>
      <c r="AQ75" s="9">
        <v>0</v>
      </c>
      <c r="AR75" s="9">
        <v>0</v>
      </c>
      <c r="AS75" s="9">
        <v>0</v>
      </c>
      <c r="AT75" s="9">
        <v>0</v>
      </c>
      <c r="AU75" s="9">
        <v>0</v>
      </c>
      <c r="AV75" s="9">
        <v>0</v>
      </c>
      <c r="AW75" s="9">
        <v>0</v>
      </c>
      <c r="AX75" s="9">
        <f t="shared" si="33"/>
        <v>226.59088041067338</v>
      </c>
      <c r="AY75" s="9">
        <f t="shared" si="34"/>
        <v>58.663712780615668</v>
      </c>
      <c r="AZ75" s="9">
        <f t="shared" si="35"/>
        <v>78.048988439306328</v>
      </c>
      <c r="BA75" s="9">
        <f t="shared" si="36"/>
        <v>111.82830815633821</v>
      </c>
      <c r="BB75" s="9">
        <f t="shared" si="37"/>
        <v>114.7625722543352</v>
      </c>
      <c r="BC75" s="20"/>
      <c r="BD75" s="9">
        <v>109</v>
      </c>
      <c r="BF75" s="9">
        <v>119</v>
      </c>
      <c r="BH75" s="9">
        <v>33</v>
      </c>
      <c r="BI75" s="9">
        <f t="shared" si="38"/>
        <v>33</v>
      </c>
      <c r="BJ75" s="9">
        <f t="shared" si="27"/>
        <v>215.80083848635559</v>
      </c>
      <c r="BK75" s="12">
        <f t="shared" si="29"/>
        <v>33</v>
      </c>
      <c r="BP75" s="9">
        <v>0</v>
      </c>
      <c r="BQ75" s="9">
        <f t="shared" si="39"/>
        <v>0</v>
      </c>
      <c r="BR75" s="12">
        <f t="shared" si="40"/>
        <v>215.80083848635559</v>
      </c>
      <c r="BS75" s="23">
        <f t="shared" si="30"/>
        <v>0</v>
      </c>
      <c r="BU75" s="9">
        <v>8</v>
      </c>
      <c r="BW75" s="9">
        <v>0</v>
      </c>
      <c r="BX75" s="9">
        <v>17</v>
      </c>
      <c r="BY75" s="9">
        <v>18</v>
      </c>
      <c r="BZ75" s="9">
        <v>14</v>
      </c>
      <c r="CA75" s="9">
        <v>17</v>
      </c>
      <c r="CB75" s="9">
        <v>19</v>
      </c>
      <c r="CC75" s="9">
        <v>23</v>
      </c>
      <c r="CD75" s="9">
        <v>16</v>
      </c>
      <c r="CE75" s="9">
        <v>20</v>
      </c>
      <c r="CF75" s="9">
        <v>24</v>
      </c>
      <c r="CG75" s="9">
        <v>17</v>
      </c>
      <c r="CH75" s="9">
        <v>26</v>
      </c>
      <c r="CI75" s="9">
        <v>15</v>
      </c>
      <c r="CJ75" s="9">
        <v>15</v>
      </c>
      <c r="CK75" s="12">
        <f t="shared" si="31"/>
        <v>232.5</v>
      </c>
      <c r="CL75" s="9">
        <f t="shared" si="41"/>
        <v>57.5</v>
      </c>
      <c r="CM75" s="9">
        <f t="shared" si="42"/>
        <v>73</v>
      </c>
      <c r="CN75" s="9">
        <f t="shared" si="43"/>
        <v>115.5</v>
      </c>
      <c r="CO75" s="9">
        <f t="shared" si="26"/>
        <v>117</v>
      </c>
      <c r="CQ75" s="9">
        <f t="shared" si="44"/>
        <v>124</v>
      </c>
      <c r="CR75" s="9">
        <f t="shared" si="45"/>
        <v>117</v>
      </c>
    </row>
    <row r="76" spans="1:96" ht="29.25">
      <c r="A76" t="str">
        <f t="shared" si="28"/>
        <v>291</v>
      </c>
      <c r="B76">
        <f t="shared" si="32"/>
        <v>291</v>
      </c>
      <c r="C76" s="15" t="s">
        <v>84</v>
      </c>
      <c r="D76" s="11"/>
      <c r="E76" s="9">
        <f>SUM(55.3941605839416*0.5)</f>
        <v>27.697080291970799</v>
      </c>
      <c r="F76" s="9">
        <v>43.014492753623202</v>
      </c>
      <c r="G76" s="9">
        <v>64.195652173913004</v>
      </c>
      <c r="H76" s="9">
        <v>41.1086956521739</v>
      </c>
      <c r="I76" s="9">
        <v>50.547101449275402</v>
      </c>
      <c r="J76" s="9">
        <v>59.268115942028999</v>
      </c>
      <c r="K76" s="9">
        <v>52.741007194244602</v>
      </c>
      <c r="L76" s="9">
        <v>53.303571428571402</v>
      </c>
      <c r="M76" s="9">
        <v>55.404279443723901</v>
      </c>
      <c r="N76" s="9">
        <v>65.8642857142857</v>
      </c>
      <c r="O76" s="9">
        <v>60.996428571428602</v>
      </c>
      <c r="P76" s="9">
        <v>67.564285714285703</v>
      </c>
      <c r="Q76" s="9">
        <v>50.203571428571401</v>
      </c>
      <c r="R76" s="9">
        <v>0</v>
      </c>
      <c r="S76" s="9">
        <v>0</v>
      </c>
      <c r="T76" s="9">
        <v>0</v>
      </c>
      <c r="U76" s="9">
        <v>0.67343414634146304</v>
      </c>
      <c r="V76" s="9">
        <v>0.32532</v>
      </c>
      <c r="W76" s="9">
        <v>3.2596834285714298</v>
      </c>
      <c r="X76" s="9">
        <v>1.71089028571429</v>
      </c>
      <c r="Y76" s="9">
        <v>0</v>
      </c>
      <c r="Z76" s="9">
        <v>0</v>
      </c>
      <c r="AA76" s="9">
        <v>0</v>
      </c>
      <c r="AB76" s="9">
        <v>0</v>
      </c>
      <c r="AC76" s="9">
        <v>1</v>
      </c>
      <c r="AD76" s="9">
        <v>0.75</v>
      </c>
      <c r="AE76" s="9">
        <v>0.90909090909090895</v>
      </c>
      <c r="AF76" s="9">
        <v>0.63636363636363602</v>
      </c>
      <c r="AG76" s="9">
        <v>0.85</v>
      </c>
      <c r="AH76" s="9">
        <v>0</v>
      </c>
      <c r="AI76" s="9">
        <v>0</v>
      </c>
      <c r="AJ76" s="9">
        <v>0</v>
      </c>
      <c r="AK76" s="9">
        <v>0</v>
      </c>
      <c r="AL76" s="9">
        <v>0</v>
      </c>
      <c r="AM76" s="9">
        <v>0</v>
      </c>
      <c r="AN76" s="9">
        <v>0</v>
      </c>
      <c r="AO76" s="9">
        <v>0</v>
      </c>
      <c r="AP76" s="9">
        <v>0</v>
      </c>
      <c r="AQ76" s="9">
        <v>0</v>
      </c>
      <c r="AR76" s="9">
        <v>0</v>
      </c>
      <c r="AS76" s="9">
        <v>0</v>
      </c>
      <c r="AT76" s="9">
        <v>0</v>
      </c>
      <c r="AU76" s="9">
        <v>0</v>
      </c>
      <c r="AV76" s="9">
        <v>0</v>
      </c>
      <c r="AW76" s="9">
        <v>0</v>
      </c>
      <c r="AX76" s="9">
        <f t="shared" si="33"/>
        <v>737.12451767238736</v>
      </c>
      <c r="AY76" s="9">
        <f t="shared" si="34"/>
        <v>184.81671691526498</v>
      </c>
      <c r="AZ76" s="9">
        <f t="shared" si="35"/>
        <v>266.43052152638575</v>
      </c>
      <c r="BA76" s="9">
        <f t="shared" si="36"/>
        <v>355.50075273009139</v>
      </c>
      <c r="BB76" s="9">
        <f t="shared" si="37"/>
        <v>381.62376494229585</v>
      </c>
      <c r="BC76" s="20"/>
      <c r="BD76" s="9">
        <v>427</v>
      </c>
      <c r="BF76" s="9">
        <v>424</v>
      </c>
      <c r="BH76" s="9">
        <v>106</v>
      </c>
      <c r="BI76" s="9">
        <f t="shared" si="38"/>
        <v>106</v>
      </c>
      <c r="BJ76" s="9">
        <f t="shared" si="27"/>
        <v>691.90856775809664</v>
      </c>
      <c r="BK76" s="12">
        <f t="shared" si="29"/>
        <v>106</v>
      </c>
      <c r="BP76" s="9" t="s">
        <v>240</v>
      </c>
      <c r="BQ76" s="9" t="str">
        <f t="shared" si="39"/>
        <v/>
      </c>
      <c r="BR76" s="12" t="str">
        <f t="shared" si="40"/>
        <v/>
      </c>
      <c r="BS76" s="23">
        <f t="shared" si="30"/>
        <v>62.144396222798392</v>
      </c>
      <c r="BU76" s="9">
        <v>30</v>
      </c>
      <c r="BW76" s="9">
        <v>27</v>
      </c>
      <c r="BX76" s="9">
        <v>45</v>
      </c>
      <c r="BY76" s="9">
        <v>60</v>
      </c>
      <c r="BZ76" s="9">
        <v>47</v>
      </c>
      <c r="CA76" s="9">
        <v>66</v>
      </c>
      <c r="CB76" s="9">
        <v>44</v>
      </c>
      <c r="CC76" s="9">
        <v>53</v>
      </c>
      <c r="CD76" s="9">
        <v>63</v>
      </c>
      <c r="CE76" s="9">
        <v>60</v>
      </c>
      <c r="CF76" s="9">
        <v>59</v>
      </c>
      <c r="CG76" s="9">
        <v>71</v>
      </c>
      <c r="CH76" s="9">
        <v>71</v>
      </c>
      <c r="CI76" s="9">
        <v>65</v>
      </c>
      <c r="CJ76" s="9">
        <v>70</v>
      </c>
      <c r="CK76" s="12">
        <f t="shared" si="31"/>
        <v>751.5</v>
      </c>
      <c r="CL76" s="9">
        <f t="shared" si="41"/>
        <v>195.5</v>
      </c>
      <c r="CM76" s="9">
        <f t="shared" si="42"/>
        <v>277</v>
      </c>
      <c r="CN76" s="9">
        <f t="shared" si="43"/>
        <v>355.5</v>
      </c>
      <c r="CO76" s="9">
        <f t="shared" si="26"/>
        <v>396</v>
      </c>
      <c r="CQ76" s="9">
        <f t="shared" si="44"/>
        <v>378</v>
      </c>
      <c r="CR76" s="9">
        <f t="shared" si="45"/>
        <v>396</v>
      </c>
    </row>
    <row r="77" spans="1:96" ht="29.25">
      <c r="A77" t="str">
        <f t="shared" si="28"/>
        <v>292</v>
      </c>
      <c r="B77">
        <f t="shared" si="32"/>
        <v>292</v>
      </c>
      <c r="C77" s="15" t="s">
        <v>85</v>
      </c>
      <c r="D77" s="11"/>
      <c r="E77" s="9">
        <f>SUM(8.12676056338028*0.5)</f>
        <v>4.0633802816901401</v>
      </c>
      <c r="F77" s="9">
        <v>14.381118881118899</v>
      </c>
      <c r="G77" s="9">
        <v>8.8881118881118901</v>
      </c>
      <c r="H77" s="9">
        <v>12.290209790209801</v>
      </c>
      <c r="I77" s="9">
        <v>9.5489510489510501</v>
      </c>
      <c r="J77" s="9">
        <v>6.8811188811188799</v>
      </c>
      <c r="K77" s="9">
        <v>9.6958041958041896</v>
      </c>
      <c r="L77" s="9">
        <v>6.375</v>
      </c>
      <c r="M77" s="9">
        <v>0.96527777777777801</v>
      </c>
      <c r="N77" s="9">
        <v>9.7951388888888893</v>
      </c>
      <c r="O77" s="9">
        <v>3.1770833333333299</v>
      </c>
      <c r="P77" s="9">
        <v>3.25</v>
      </c>
      <c r="Q77" s="9">
        <v>4.7152777777777803</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f t="shared" si="33"/>
        <v>98.727796382021765</v>
      </c>
      <c r="AY77" s="9">
        <f t="shared" si="34"/>
        <v>41.603961883187267</v>
      </c>
      <c r="AZ77" s="9">
        <f t="shared" si="35"/>
        <v>21.984375</v>
      </c>
      <c r="BA77" s="9">
        <f t="shared" si="36"/>
        <v>69.036129715355102</v>
      </c>
      <c r="BB77" s="9">
        <f t="shared" si="37"/>
        <v>29.69166666666667</v>
      </c>
      <c r="BC77" s="20"/>
      <c r="BD77" s="9">
        <v>48</v>
      </c>
      <c r="BF77" s="9">
        <v>54</v>
      </c>
      <c r="BH77" s="9">
        <v>9</v>
      </c>
      <c r="BI77" s="9">
        <f t="shared" si="38"/>
        <v>9</v>
      </c>
      <c r="BJ77" s="9">
        <f t="shared" si="27"/>
        <v>94.026472744782623</v>
      </c>
      <c r="BK77" s="12">
        <f t="shared" si="29"/>
        <v>9</v>
      </c>
      <c r="BP77" s="9" t="s">
        <v>240</v>
      </c>
      <c r="BQ77" s="9" t="str">
        <f t="shared" si="39"/>
        <v/>
      </c>
      <c r="BR77" s="12" t="str">
        <f t="shared" si="40"/>
        <v/>
      </c>
      <c r="BS77" s="23">
        <f t="shared" si="30"/>
        <v>8.4450730197155419</v>
      </c>
      <c r="BU77" s="9">
        <v>0</v>
      </c>
      <c r="BW77" s="9">
        <v>0</v>
      </c>
      <c r="BX77" s="9">
        <v>5</v>
      </c>
      <c r="BY77" s="9">
        <v>8</v>
      </c>
      <c r="BZ77" s="9">
        <v>15</v>
      </c>
      <c r="CA77" s="9">
        <v>11</v>
      </c>
      <c r="CB77" s="9">
        <v>12</v>
      </c>
      <c r="CC77" s="9">
        <v>10</v>
      </c>
      <c r="CD77" s="9">
        <v>7</v>
      </c>
      <c r="CE77" s="9">
        <v>7</v>
      </c>
      <c r="CF77" s="9">
        <v>7</v>
      </c>
      <c r="CG77" s="9">
        <v>1</v>
      </c>
      <c r="CH77" s="9">
        <v>10</v>
      </c>
      <c r="CI77" s="9">
        <v>5</v>
      </c>
      <c r="CJ77" s="9">
        <v>4</v>
      </c>
      <c r="CK77" s="12">
        <f t="shared" si="31"/>
        <v>99.5</v>
      </c>
      <c r="CL77" s="9">
        <f t="shared" si="41"/>
        <v>36.5</v>
      </c>
      <c r="CM77" s="9">
        <f t="shared" si="42"/>
        <v>20</v>
      </c>
      <c r="CN77" s="9">
        <f t="shared" si="43"/>
        <v>65.5</v>
      </c>
      <c r="CO77" s="9">
        <f t="shared" si="26"/>
        <v>100</v>
      </c>
      <c r="CQ77" s="9">
        <f t="shared" si="44"/>
        <v>68</v>
      </c>
      <c r="CR77" s="9">
        <f t="shared" si="45"/>
        <v>34</v>
      </c>
    </row>
    <row r="78" spans="1:96" ht="29.25">
      <c r="A78" t="str">
        <f t="shared" si="28"/>
        <v>302</v>
      </c>
      <c r="B78">
        <f t="shared" si="32"/>
        <v>302</v>
      </c>
      <c r="C78" s="15" t="s">
        <v>86</v>
      </c>
      <c r="D78" s="11"/>
      <c r="E78" s="9">
        <f>SUM(9.85567010309278*0.5)</f>
        <v>4.9278350515463902</v>
      </c>
      <c r="F78" s="9">
        <v>8.8165680473372792</v>
      </c>
      <c r="G78" s="9">
        <v>15.313609467455599</v>
      </c>
      <c r="H78" s="9">
        <v>9.1360946745562099</v>
      </c>
      <c r="I78" s="9">
        <v>11.1005917159763</v>
      </c>
      <c r="J78" s="9">
        <v>12.568047337278101</v>
      </c>
      <c r="K78" s="9">
        <v>13.4289940828402</v>
      </c>
      <c r="L78" s="9">
        <v>9.1117647058823508</v>
      </c>
      <c r="M78" s="9">
        <v>9.5911764705882394</v>
      </c>
      <c r="N78" s="9">
        <v>8.9117647058823497</v>
      </c>
      <c r="O78" s="9">
        <v>9.8676470588235308</v>
      </c>
      <c r="P78" s="9">
        <v>8.1058823529411796</v>
      </c>
      <c r="Q78" s="9">
        <v>10.888235294117599</v>
      </c>
      <c r="R78" s="9">
        <v>0</v>
      </c>
      <c r="S78" s="9">
        <v>0</v>
      </c>
      <c r="T78" s="9">
        <v>0</v>
      </c>
      <c r="U78" s="9">
        <v>0</v>
      </c>
      <c r="V78" s="9">
        <v>0</v>
      </c>
      <c r="W78" s="9">
        <v>0</v>
      </c>
      <c r="X78" s="9">
        <v>0</v>
      </c>
      <c r="Y78" s="9">
        <v>0</v>
      </c>
      <c r="Z78" s="9">
        <v>0</v>
      </c>
      <c r="AA78" s="9">
        <v>0</v>
      </c>
      <c r="AB78" s="9">
        <v>0</v>
      </c>
      <c r="AC78" s="9">
        <v>0</v>
      </c>
      <c r="AD78" s="9">
        <v>0</v>
      </c>
      <c r="AE78" s="9">
        <v>0</v>
      </c>
      <c r="AF78" s="9">
        <v>0</v>
      </c>
      <c r="AG78" s="9">
        <v>0</v>
      </c>
      <c r="AH78" s="9">
        <v>0</v>
      </c>
      <c r="AI78" s="9">
        <v>0</v>
      </c>
      <c r="AJ78" s="9">
        <v>0</v>
      </c>
      <c r="AK78" s="9">
        <v>0</v>
      </c>
      <c r="AL78" s="9">
        <v>0</v>
      </c>
      <c r="AM78" s="9">
        <v>0</v>
      </c>
      <c r="AN78" s="9">
        <v>0</v>
      </c>
      <c r="AO78" s="9">
        <v>0</v>
      </c>
      <c r="AP78" s="9">
        <v>0</v>
      </c>
      <c r="AQ78" s="9">
        <v>0</v>
      </c>
      <c r="AR78" s="9">
        <v>0</v>
      </c>
      <c r="AS78" s="9">
        <v>0</v>
      </c>
      <c r="AT78" s="9">
        <v>0</v>
      </c>
      <c r="AU78" s="9">
        <v>0</v>
      </c>
      <c r="AV78" s="9">
        <v>0</v>
      </c>
      <c r="AW78" s="9">
        <v>0</v>
      </c>
      <c r="AX78" s="9">
        <f t="shared" si="33"/>
        <v>138.3566215134866</v>
      </c>
      <c r="AY78" s="9">
        <f t="shared" si="34"/>
        <v>40.103812602940252</v>
      </c>
      <c r="AZ78" s="9">
        <f t="shared" si="35"/>
        <v>39.662205882352893</v>
      </c>
      <c r="BA78" s="9">
        <f t="shared" si="36"/>
        <v>79.056327395839588</v>
      </c>
      <c r="BB78" s="9">
        <f t="shared" si="37"/>
        <v>59.300294117647006</v>
      </c>
      <c r="BC78" s="20"/>
      <c r="BD78" s="9">
        <v>68</v>
      </c>
      <c r="BF78" s="9">
        <v>58</v>
      </c>
      <c r="BH78" s="9">
        <v>12</v>
      </c>
      <c r="BI78" s="9">
        <f t="shared" si="38"/>
        <v>12</v>
      </c>
      <c r="BJ78" s="9">
        <f t="shared" si="27"/>
        <v>131.76821096522534</v>
      </c>
      <c r="BK78" s="12">
        <f t="shared" si="29"/>
        <v>12</v>
      </c>
      <c r="BP78" s="9">
        <v>0</v>
      </c>
      <c r="BQ78" s="9">
        <f t="shared" si="39"/>
        <v>0</v>
      </c>
      <c r="BR78" s="12">
        <f t="shared" si="40"/>
        <v>131.76821096522534</v>
      </c>
      <c r="BS78" s="23">
        <f t="shared" si="30"/>
        <v>0</v>
      </c>
      <c r="BU78" s="9">
        <v>0</v>
      </c>
      <c r="BW78" s="9">
        <v>1</v>
      </c>
      <c r="BX78" s="9">
        <v>16</v>
      </c>
      <c r="BY78" s="9">
        <v>9</v>
      </c>
      <c r="BZ78" s="9">
        <v>10</v>
      </c>
      <c r="CA78" s="9">
        <v>14</v>
      </c>
      <c r="CB78" s="9">
        <v>8</v>
      </c>
      <c r="CC78" s="9">
        <v>12</v>
      </c>
      <c r="CD78" s="9">
        <v>12</v>
      </c>
      <c r="CE78" s="9">
        <v>14</v>
      </c>
      <c r="CF78" s="9">
        <v>11</v>
      </c>
      <c r="CG78" s="9">
        <v>11</v>
      </c>
      <c r="CH78" s="9">
        <v>9</v>
      </c>
      <c r="CI78" s="9">
        <v>11</v>
      </c>
      <c r="CJ78" s="9">
        <v>8</v>
      </c>
      <c r="CK78" s="12">
        <f t="shared" si="31"/>
        <v>137</v>
      </c>
      <c r="CL78" s="9">
        <f t="shared" si="41"/>
        <v>41</v>
      </c>
      <c r="CM78" s="9">
        <f t="shared" si="42"/>
        <v>39</v>
      </c>
      <c r="CN78" s="9">
        <f t="shared" si="43"/>
        <v>73</v>
      </c>
      <c r="CO78" s="9">
        <f t="shared" si="26"/>
        <v>100</v>
      </c>
      <c r="CQ78" s="9">
        <f t="shared" si="44"/>
        <v>81</v>
      </c>
      <c r="CR78" s="9">
        <f t="shared" si="45"/>
        <v>64</v>
      </c>
    </row>
    <row r="79" spans="1:96" ht="29.25">
      <c r="A79" t="str">
        <f t="shared" si="28"/>
        <v>304</v>
      </c>
      <c r="B79">
        <f t="shared" si="32"/>
        <v>304</v>
      </c>
      <c r="C79" s="15" t="s">
        <v>87</v>
      </c>
      <c r="D79" s="11"/>
      <c r="E79" s="9">
        <f>SUM(27.7873563218391*0.5)</f>
        <v>13.893678160919549</v>
      </c>
      <c r="F79" s="9">
        <v>29.8247126436782</v>
      </c>
      <c r="G79" s="9">
        <v>30.683908045976999</v>
      </c>
      <c r="H79" s="9">
        <v>29.528735632183899</v>
      </c>
      <c r="I79" s="9">
        <v>24.580459770114899</v>
      </c>
      <c r="J79" s="9">
        <v>29.528735632183899</v>
      </c>
      <c r="K79" s="9">
        <v>41.942528735632202</v>
      </c>
      <c r="L79" s="9">
        <v>26.816091954023001</v>
      </c>
      <c r="M79" s="9">
        <v>38.477011494252899</v>
      </c>
      <c r="N79" s="9">
        <v>34.862068965517203</v>
      </c>
      <c r="O79" s="9">
        <v>30.7183908045977</v>
      </c>
      <c r="P79" s="9">
        <v>30.732758620689701</v>
      </c>
      <c r="Q79" s="9">
        <v>20.919540229885101</v>
      </c>
      <c r="R79" s="9">
        <v>0</v>
      </c>
      <c r="S79" s="9">
        <v>0</v>
      </c>
      <c r="T79" s="9">
        <v>0</v>
      </c>
      <c r="U79" s="9">
        <v>0</v>
      </c>
      <c r="V79" s="9">
        <v>0</v>
      </c>
      <c r="W79" s="9">
        <v>0</v>
      </c>
      <c r="X79" s="9">
        <v>0</v>
      </c>
      <c r="Y79" s="9">
        <v>0</v>
      </c>
      <c r="Z79" s="9">
        <v>0</v>
      </c>
      <c r="AA79" s="9">
        <v>0</v>
      </c>
      <c r="AB79" s="9">
        <v>0</v>
      </c>
      <c r="AC79" s="9">
        <v>0</v>
      </c>
      <c r="AD79" s="9">
        <v>0</v>
      </c>
      <c r="AE79" s="9">
        <v>0</v>
      </c>
      <c r="AF79" s="9">
        <v>0</v>
      </c>
      <c r="AG79" s="9">
        <v>0</v>
      </c>
      <c r="AH79" s="9">
        <v>0</v>
      </c>
      <c r="AI79" s="9">
        <v>0</v>
      </c>
      <c r="AJ79" s="9">
        <v>0</v>
      </c>
      <c r="AK79" s="9">
        <v>0</v>
      </c>
      <c r="AL79" s="9">
        <v>0</v>
      </c>
      <c r="AM79" s="9">
        <v>0</v>
      </c>
      <c r="AN79" s="9">
        <v>0</v>
      </c>
      <c r="AO79" s="9">
        <v>0</v>
      </c>
      <c r="AP79" s="9">
        <v>0</v>
      </c>
      <c r="AQ79" s="9">
        <v>0</v>
      </c>
      <c r="AR79" s="9">
        <v>0</v>
      </c>
      <c r="AS79" s="9">
        <v>0</v>
      </c>
      <c r="AT79" s="9">
        <v>0</v>
      </c>
      <c r="AU79" s="9">
        <v>0</v>
      </c>
      <c r="AV79" s="9">
        <v>0</v>
      </c>
      <c r="AW79" s="9">
        <v>0</v>
      </c>
      <c r="AX79" s="9">
        <f t="shared" si="33"/>
        <v>401.63405172413803</v>
      </c>
      <c r="AY79" s="9">
        <f t="shared" si="34"/>
        <v>109.12758620689657</v>
      </c>
      <c r="AZ79" s="9">
        <f t="shared" si="35"/>
        <v>123.09439655172419</v>
      </c>
      <c r="BA79" s="9">
        <f t="shared" si="36"/>
        <v>209.98189655172413</v>
      </c>
      <c r="BB79" s="9">
        <f t="shared" si="37"/>
        <v>191.65215517241393</v>
      </c>
      <c r="BC79" s="20"/>
      <c r="BD79" s="9">
        <v>279.60000000000002</v>
      </c>
      <c r="BF79" s="153">
        <v>180.16</v>
      </c>
      <c r="BH79" s="9">
        <v>76</v>
      </c>
      <c r="BI79" s="9">
        <f t="shared" si="38"/>
        <v>76</v>
      </c>
      <c r="BJ79" s="9">
        <f t="shared" si="27"/>
        <v>382.50862068965523</v>
      </c>
      <c r="BK79" s="12">
        <f t="shared" si="29"/>
        <v>76</v>
      </c>
      <c r="BP79" s="9" t="s">
        <v>240</v>
      </c>
      <c r="BQ79" s="9" t="str">
        <f t="shared" si="39"/>
        <v/>
      </c>
      <c r="BR79" s="12" t="str">
        <f t="shared" si="40"/>
        <v/>
      </c>
      <c r="BS79" s="23">
        <f t="shared" si="30"/>
        <v>34.355359061090148</v>
      </c>
      <c r="BU79" s="9">
        <v>0</v>
      </c>
      <c r="BW79" s="9">
        <v>3</v>
      </c>
      <c r="BX79" s="9">
        <v>24</v>
      </c>
      <c r="BY79" s="9">
        <v>25</v>
      </c>
      <c r="BZ79" s="9">
        <v>30</v>
      </c>
      <c r="CA79" s="9">
        <v>28</v>
      </c>
      <c r="CB79" s="9">
        <v>29</v>
      </c>
      <c r="CC79" s="9">
        <v>31</v>
      </c>
      <c r="CD79" s="9">
        <v>31</v>
      </c>
      <c r="CE79" s="9">
        <v>41</v>
      </c>
      <c r="CF79" s="9">
        <v>33</v>
      </c>
      <c r="CG79" s="9">
        <v>44</v>
      </c>
      <c r="CH79" s="9">
        <v>39</v>
      </c>
      <c r="CI79" s="9">
        <v>35</v>
      </c>
      <c r="CJ79" s="9">
        <v>29</v>
      </c>
      <c r="CK79" s="12">
        <f t="shared" si="31"/>
        <v>407</v>
      </c>
      <c r="CL79" s="9">
        <f t="shared" si="41"/>
        <v>95</v>
      </c>
      <c r="CM79" s="9">
        <f t="shared" si="42"/>
        <v>147</v>
      </c>
      <c r="CN79" s="9">
        <f t="shared" si="43"/>
        <v>186</v>
      </c>
      <c r="CO79" s="9">
        <f t="shared" si="26"/>
        <v>221</v>
      </c>
      <c r="CQ79" s="9">
        <f t="shared" si="44"/>
        <v>198</v>
      </c>
      <c r="CR79" s="9">
        <f t="shared" si="45"/>
        <v>221</v>
      </c>
    </row>
    <row r="80" spans="1:96" ht="29.25">
      <c r="A80" t="str">
        <f t="shared" si="28"/>
        <v>305</v>
      </c>
      <c r="B80">
        <f t="shared" si="32"/>
        <v>305</v>
      </c>
      <c r="C80" s="15" t="s">
        <v>88</v>
      </c>
      <c r="D80" s="11"/>
      <c r="E80" s="9">
        <f>SUM(14.9719626168224*0.5)</f>
        <v>7.4859813084112004</v>
      </c>
      <c r="F80" s="9">
        <v>10.1909722222222</v>
      </c>
      <c r="G80" s="9">
        <v>10.6319444444444</v>
      </c>
      <c r="H80" s="9">
        <v>12.4513888888889</v>
      </c>
      <c r="I80" s="9">
        <v>15.3784722222222</v>
      </c>
      <c r="J80" s="9">
        <v>7.9270833333333304</v>
      </c>
      <c r="K80" s="9">
        <v>18.6215277777778</v>
      </c>
      <c r="L80" s="9">
        <v>11.6770833333333</v>
      </c>
      <c r="M80" s="9">
        <v>17.0902777777778</v>
      </c>
      <c r="N80" s="9">
        <v>11.4583333333333</v>
      </c>
      <c r="O80" s="9">
        <v>14.9652777777778</v>
      </c>
      <c r="P80" s="9">
        <v>12.2916666666667</v>
      </c>
      <c r="Q80" s="9">
        <v>10.0451388888889</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v>0</v>
      </c>
      <c r="AJ80" s="9">
        <v>0</v>
      </c>
      <c r="AK80" s="9">
        <v>0</v>
      </c>
      <c r="AL80" s="9">
        <v>0</v>
      </c>
      <c r="AM80" s="9">
        <v>0</v>
      </c>
      <c r="AN80" s="9">
        <v>0</v>
      </c>
      <c r="AO80" s="9">
        <v>0</v>
      </c>
      <c r="AP80" s="9">
        <v>0</v>
      </c>
      <c r="AQ80" s="9">
        <v>0</v>
      </c>
      <c r="AR80" s="9">
        <v>0</v>
      </c>
      <c r="AS80" s="9">
        <v>0</v>
      </c>
      <c r="AT80" s="9">
        <v>0</v>
      </c>
      <c r="AU80" s="9">
        <v>0</v>
      </c>
      <c r="AV80" s="9">
        <v>0</v>
      </c>
      <c r="AW80" s="9">
        <v>0</v>
      </c>
      <c r="AX80" s="9">
        <f t="shared" si="33"/>
        <v>168.22590537383175</v>
      </c>
      <c r="AY80" s="9">
        <f t="shared" si="34"/>
        <v>42.798301207165032</v>
      </c>
      <c r="AZ80" s="9">
        <f t="shared" si="35"/>
        <v>51.19843750000004</v>
      </c>
      <c r="BA80" s="9">
        <f t="shared" si="36"/>
        <v>86.821738707165025</v>
      </c>
      <c r="BB80" s="9">
        <f t="shared" si="37"/>
        <v>81.404166666666697</v>
      </c>
      <c r="BC80" s="20"/>
      <c r="BD80" s="9">
        <v>89</v>
      </c>
      <c r="BF80" s="9">
        <v>92</v>
      </c>
      <c r="BH80" s="9">
        <v>23</v>
      </c>
      <c r="BI80" s="9">
        <f t="shared" si="38"/>
        <v>23</v>
      </c>
      <c r="BJ80" s="9">
        <f t="shared" si="27"/>
        <v>160.21514797507785</v>
      </c>
      <c r="BK80" s="12">
        <f t="shared" si="29"/>
        <v>23</v>
      </c>
      <c r="BP80" s="9">
        <v>0</v>
      </c>
      <c r="BQ80" s="9">
        <f t="shared" si="39"/>
        <v>0</v>
      </c>
      <c r="BR80" s="12">
        <f t="shared" si="40"/>
        <v>160.21514797507785</v>
      </c>
      <c r="BS80" s="23">
        <f t="shared" si="30"/>
        <v>0</v>
      </c>
      <c r="BU80" s="9">
        <v>2</v>
      </c>
      <c r="BW80" s="9">
        <v>1</v>
      </c>
      <c r="BX80" s="9">
        <v>22</v>
      </c>
      <c r="BY80" s="9">
        <v>17</v>
      </c>
      <c r="BZ80" s="9">
        <v>6</v>
      </c>
      <c r="CA80" s="9">
        <v>12</v>
      </c>
      <c r="CB80" s="9">
        <v>11</v>
      </c>
      <c r="CC80" s="9">
        <v>16</v>
      </c>
      <c r="CD80" s="9">
        <v>11</v>
      </c>
      <c r="CE80" s="9">
        <v>16</v>
      </c>
      <c r="CF80" s="9">
        <v>8</v>
      </c>
      <c r="CG80" s="9">
        <v>17</v>
      </c>
      <c r="CH80" s="9">
        <v>9</v>
      </c>
      <c r="CI80" s="9">
        <v>13</v>
      </c>
      <c r="CJ80" s="9">
        <v>12</v>
      </c>
      <c r="CK80" s="12">
        <f t="shared" si="31"/>
        <v>159</v>
      </c>
      <c r="CL80" s="9">
        <f t="shared" si="41"/>
        <v>46</v>
      </c>
      <c r="CM80" s="9">
        <f t="shared" si="42"/>
        <v>51</v>
      </c>
      <c r="CN80" s="9">
        <f t="shared" si="43"/>
        <v>84</v>
      </c>
      <c r="CO80" s="9">
        <f t="shared" ref="CO80" si="46">MAX($D$181,(SUM(CE80:CJ80)))</f>
        <v>100</v>
      </c>
      <c r="CQ80" s="9">
        <f t="shared" si="44"/>
        <v>95</v>
      </c>
      <c r="CR80" s="9">
        <f t="shared" si="45"/>
        <v>75</v>
      </c>
    </row>
    <row r="81" spans="1:96" ht="29.25">
      <c r="A81" t="str">
        <f t="shared" si="28"/>
        <v>312</v>
      </c>
      <c r="B81">
        <f t="shared" si="32"/>
        <v>312</v>
      </c>
      <c r="C81" s="15" t="s">
        <v>89</v>
      </c>
      <c r="D81" s="11"/>
      <c r="E81" s="9">
        <f>SUM(35.7440273037543*0.5)</f>
        <v>17.87201365187715</v>
      </c>
      <c r="F81" s="9">
        <v>38.723549488054601</v>
      </c>
      <c r="G81" s="9">
        <v>38.081911262798599</v>
      </c>
      <c r="H81" s="9">
        <v>40.546075085324198</v>
      </c>
      <c r="I81" s="9">
        <v>41.092150170648502</v>
      </c>
      <c r="J81" s="9">
        <v>38.955631399317397</v>
      </c>
      <c r="K81" s="9">
        <v>39.505119453924898</v>
      </c>
      <c r="L81" s="9">
        <v>35.1945392491468</v>
      </c>
      <c r="M81" s="9">
        <v>44.1945392491468</v>
      </c>
      <c r="N81" s="9">
        <v>25.959044368600701</v>
      </c>
      <c r="O81" s="9">
        <v>36.535836177474401</v>
      </c>
      <c r="P81" s="9">
        <v>31.1945392491468</v>
      </c>
      <c r="Q81" s="9">
        <v>36.153583617747401</v>
      </c>
      <c r="R81" s="9">
        <v>0</v>
      </c>
      <c r="S81" s="9">
        <v>0</v>
      </c>
      <c r="T81" s="9">
        <v>0</v>
      </c>
      <c r="U81" s="9">
        <v>1.8213251282051299</v>
      </c>
      <c r="V81" s="9">
        <v>4.8100251590105998</v>
      </c>
      <c r="W81" s="9">
        <v>6.4405167491166102</v>
      </c>
      <c r="X81" s="9">
        <v>3.4467437455830399</v>
      </c>
      <c r="Y81" s="9">
        <v>0</v>
      </c>
      <c r="Z81" s="9">
        <v>0</v>
      </c>
      <c r="AA81" s="9">
        <v>0</v>
      </c>
      <c r="AB81" s="9">
        <v>0</v>
      </c>
      <c r="AC81" s="9">
        <v>0</v>
      </c>
      <c r="AD81" s="9">
        <v>0</v>
      </c>
      <c r="AE81" s="9">
        <v>0</v>
      </c>
      <c r="AF81" s="9">
        <v>0</v>
      </c>
      <c r="AG81" s="9">
        <v>0</v>
      </c>
      <c r="AH81" s="9">
        <v>0</v>
      </c>
      <c r="AI81" s="9">
        <v>0</v>
      </c>
      <c r="AJ81" s="9">
        <v>0</v>
      </c>
      <c r="AK81" s="9">
        <v>0</v>
      </c>
      <c r="AL81" s="9">
        <v>0</v>
      </c>
      <c r="AM81" s="9">
        <v>0</v>
      </c>
      <c r="AN81" s="9">
        <v>0</v>
      </c>
      <c r="AO81" s="9">
        <v>0</v>
      </c>
      <c r="AP81" s="9">
        <v>0</v>
      </c>
      <c r="AQ81" s="9">
        <v>0</v>
      </c>
      <c r="AR81" s="9">
        <v>0</v>
      </c>
      <c r="AS81" s="9">
        <v>0</v>
      </c>
      <c r="AT81" s="9">
        <v>0</v>
      </c>
      <c r="AU81" s="9">
        <v>0</v>
      </c>
      <c r="AV81" s="9">
        <v>0</v>
      </c>
      <c r="AW81" s="9">
        <v>0</v>
      </c>
      <c r="AX81" s="9">
        <f t="shared" si="33"/>
        <v>504.55350036537982</v>
      </c>
      <c r="AY81" s="9">
        <f t="shared" si="34"/>
        <v>141.98472696245727</v>
      </c>
      <c r="AZ81" s="9">
        <f t="shared" si="35"/>
        <v>153.67969490462892</v>
      </c>
      <c r="BA81" s="9">
        <f t="shared" si="36"/>
        <v>267.51527303754261</v>
      </c>
      <c r="BB81" s="9">
        <f t="shared" si="37"/>
        <v>237.03822732783721</v>
      </c>
      <c r="BC81" s="20"/>
      <c r="BD81" s="9">
        <v>334.4</v>
      </c>
      <c r="BF81" s="9">
        <v>380</v>
      </c>
      <c r="BH81" s="9">
        <v>48</v>
      </c>
      <c r="BI81" s="9">
        <f t="shared" si="38"/>
        <v>48</v>
      </c>
      <c r="BJ81" s="9">
        <f t="shared" si="27"/>
        <v>464.00853242320824</v>
      </c>
      <c r="BK81" s="12">
        <f t="shared" si="29"/>
        <v>48</v>
      </c>
      <c r="BP81" s="9">
        <v>192</v>
      </c>
      <c r="BQ81" s="9">
        <f t="shared" si="39"/>
        <v>192</v>
      </c>
      <c r="BR81" s="12">
        <f t="shared" si="40"/>
        <v>464.00853242320824</v>
      </c>
      <c r="BS81" s="23">
        <f t="shared" si="30"/>
        <v>192</v>
      </c>
      <c r="BU81" s="9">
        <v>0</v>
      </c>
      <c r="BW81" s="9">
        <v>2</v>
      </c>
      <c r="BX81" s="9">
        <v>35</v>
      </c>
      <c r="BY81" s="9">
        <v>34</v>
      </c>
      <c r="BZ81" s="9">
        <v>40</v>
      </c>
      <c r="CA81" s="9">
        <v>36</v>
      </c>
      <c r="CB81" s="9">
        <v>40</v>
      </c>
      <c r="CC81" s="9">
        <v>39</v>
      </c>
      <c r="CD81" s="9">
        <v>43</v>
      </c>
      <c r="CE81" s="9">
        <v>41</v>
      </c>
      <c r="CF81" s="9">
        <v>35</v>
      </c>
      <c r="CG81" s="9">
        <v>45</v>
      </c>
      <c r="CH81" s="9">
        <v>27</v>
      </c>
      <c r="CI81" s="9">
        <v>42</v>
      </c>
      <c r="CJ81" s="9">
        <v>39</v>
      </c>
      <c r="CK81" s="12">
        <f t="shared" si="31"/>
        <v>478.5</v>
      </c>
      <c r="CL81" s="9">
        <f t="shared" si="41"/>
        <v>127.5</v>
      </c>
      <c r="CM81" s="9">
        <f t="shared" si="42"/>
        <v>153</v>
      </c>
      <c r="CN81" s="9">
        <f t="shared" si="43"/>
        <v>249.5</v>
      </c>
      <c r="CO81" s="9">
        <f t="shared" ref="CO81:CO91" si="47">MAX($D$181,(SUM(CE81:CJ81)))</f>
        <v>229</v>
      </c>
      <c r="CQ81" s="9">
        <f t="shared" si="44"/>
        <v>267</v>
      </c>
      <c r="CR81" s="9">
        <f t="shared" si="45"/>
        <v>229</v>
      </c>
    </row>
    <row r="82" spans="1:96" ht="29.25">
      <c r="A82" t="str">
        <f t="shared" si="28"/>
        <v>314</v>
      </c>
      <c r="B82">
        <f t="shared" si="32"/>
        <v>314</v>
      </c>
      <c r="C82" s="15" t="s">
        <v>90</v>
      </c>
      <c r="D82" s="11"/>
      <c r="E82" s="9">
        <f>SUM(14.472049689441*0.5)</f>
        <v>7.2360248447205002</v>
      </c>
      <c r="F82" s="9">
        <v>15.4689440993789</v>
      </c>
      <c r="G82" s="9">
        <v>14.015527950310601</v>
      </c>
      <c r="H82" s="9">
        <v>15.673913043478301</v>
      </c>
      <c r="I82" s="9">
        <v>14.211180124223601</v>
      </c>
      <c r="J82" s="9">
        <v>20.0745341614907</v>
      </c>
      <c r="K82" s="9">
        <v>14.3944099378882</v>
      </c>
      <c r="L82" s="9">
        <v>20.431677018633501</v>
      </c>
      <c r="M82" s="9">
        <v>12.7049689440994</v>
      </c>
      <c r="N82" s="9">
        <v>17.841614906832302</v>
      </c>
      <c r="O82" s="9">
        <v>14.1273291925466</v>
      </c>
      <c r="P82" s="9">
        <v>11.4534161490683</v>
      </c>
      <c r="Q82" s="9">
        <v>9.5155279503105596</v>
      </c>
      <c r="R82" s="9">
        <v>0</v>
      </c>
      <c r="S82" s="9">
        <v>0</v>
      </c>
      <c r="T82" s="9">
        <v>0</v>
      </c>
      <c r="U82" s="9">
        <v>0</v>
      </c>
      <c r="V82" s="9">
        <v>0</v>
      </c>
      <c r="W82" s="9">
        <v>0</v>
      </c>
      <c r="X82" s="9">
        <v>0</v>
      </c>
      <c r="Y82" s="9">
        <v>0</v>
      </c>
      <c r="Z82" s="9">
        <v>0</v>
      </c>
      <c r="AA82" s="9">
        <v>0</v>
      </c>
      <c r="AB82" s="9">
        <v>0</v>
      </c>
      <c r="AC82" s="9">
        <v>0</v>
      </c>
      <c r="AD82" s="9">
        <v>0</v>
      </c>
      <c r="AE82" s="9">
        <v>0</v>
      </c>
      <c r="AF82" s="9">
        <v>0</v>
      </c>
      <c r="AG82" s="9">
        <v>0</v>
      </c>
      <c r="AH82" s="9">
        <v>0</v>
      </c>
      <c r="AI82" s="9">
        <v>0</v>
      </c>
      <c r="AJ82" s="9">
        <v>0</v>
      </c>
      <c r="AK82" s="9">
        <v>0</v>
      </c>
      <c r="AL82" s="9">
        <v>0</v>
      </c>
      <c r="AM82" s="9">
        <v>0</v>
      </c>
      <c r="AN82" s="9">
        <v>0</v>
      </c>
      <c r="AO82" s="9">
        <v>0</v>
      </c>
      <c r="AP82" s="9">
        <v>0</v>
      </c>
      <c r="AQ82" s="9">
        <v>0</v>
      </c>
      <c r="AR82" s="9">
        <v>0</v>
      </c>
      <c r="AS82" s="9">
        <v>0</v>
      </c>
      <c r="AT82" s="9">
        <v>0</v>
      </c>
      <c r="AU82" s="9">
        <v>0</v>
      </c>
      <c r="AV82" s="9">
        <v>0</v>
      </c>
      <c r="AW82" s="9">
        <v>0</v>
      </c>
      <c r="AX82" s="9">
        <f t="shared" si="33"/>
        <v>196.50652173913051</v>
      </c>
      <c r="AY82" s="9">
        <f t="shared" si="34"/>
        <v>55.014130434782714</v>
      </c>
      <c r="AZ82" s="9">
        <f t="shared" si="35"/>
        <v>55.584782608695654</v>
      </c>
      <c r="BA82" s="9">
        <f t="shared" si="36"/>
        <v>106.12826086956535</v>
      </c>
      <c r="BB82" s="9">
        <f t="shared" si="37"/>
        <v>90.378260869565196</v>
      </c>
      <c r="BC82" s="20"/>
      <c r="BD82" s="9">
        <v>131</v>
      </c>
      <c r="BF82" s="9">
        <v>129</v>
      </c>
      <c r="BH82" s="9">
        <v>20</v>
      </c>
      <c r="BI82" s="9">
        <f t="shared" si="38"/>
        <v>20</v>
      </c>
      <c r="BJ82" s="9">
        <f t="shared" si="27"/>
        <v>187.14906832298144</v>
      </c>
      <c r="BK82" s="12">
        <f t="shared" si="29"/>
        <v>20</v>
      </c>
      <c r="BP82" s="9">
        <v>30</v>
      </c>
      <c r="BQ82" s="9">
        <f t="shared" si="39"/>
        <v>30</v>
      </c>
      <c r="BR82" s="12">
        <f t="shared" si="40"/>
        <v>187.14906832298144</v>
      </c>
      <c r="BS82" s="23">
        <f t="shared" si="30"/>
        <v>30</v>
      </c>
      <c r="BU82" s="9">
        <v>6</v>
      </c>
      <c r="BW82" s="9">
        <v>5</v>
      </c>
      <c r="BX82" s="9">
        <v>16</v>
      </c>
      <c r="BY82" s="9">
        <v>16</v>
      </c>
      <c r="BZ82" s="9">
        <v>16</v>
      </c>
      <c r="CA82" s="9">
        <v>16</v>
      </c>
      <c r="CB82" s="9">
        <v>16</v>
      </c>
      <c r="CC82" s="9">
        <v>16</v>
      </c>
      <c r="CD82" s="9">
        <v>17</v>
      </c>
      <c r="CE82" s="9">
        <v>21</v>
      </c>
      <c r="CF82" s="9">
        <v>18</v>
      </c>
      <c r="CG82" s="9">
        <v>12</v>
      </c>
      <c r="CH82" s="9">
        <v>16</v>
      </c>
      <c r="CI82" s="9">
        <v>17</v>
      </c>
      <c r="CJ82" s="9">
        <v>14</v>
      </c>
      <c r="CK82" s="12">
        <f t="shared" si="31"/>
        <v>203</v>
      </c>
      <c r="CL82" s="9">
        <f t="shared" si="41"/>
        <v>56</v>
      </c>
      <c r="CM82" s="9">
        <f t="shared" si="42"/>
        <v>59</v>
      </c>
      <c r="CN82" s="9">
        <f t="shared" si="43"/>
        <v>105</v>
      </c>
      <c r="CO82" s="9">
        <f t="shared" si="47"/>
        <v>100</v>
      </c>
      <c r="CQ82" s="9">
        <f t="shared" si="44"/>
        <v>113</v>
      </c>
      <c r="CR82" s="9">
        <f t="shared" si="45"/>
        <v>98</v>
      </c>
    </row>
    <row r="83" spans="1:96" ht="29.25">
      <c r="A83" t="str">
        <f t="shared" si="28"/>
        <v>316</v>
      </c>
      <c r="B83">
        <f t="shared" si="32"/>
        <v>316</v>
      </c>
      <c r="C83" s="15" t="s">
        <v>91</v>
      </c>
      <c r="D83" s="11"/>
      <c r="E83" s="9">
        <f>SUM(13.3541666666667*0.5)</f>
        <v>6.6770833333333499</v>
      </c>
      <c r="F83" s="9">
        <v>15.618881118881101</v>
      </c>
      <c r="G83" s="9">
        <v>14.618881118881101</v>
      </c>
      <c r="H83" s="9">
        <v>16.342657342657301</v>
      </c>
      <c r="I83" s="9">
        <v>19.426573426573398</v>
      </c>
      <c r="J83" s="9">
        <v>13.881118881118899</v>
      </c>
      <c r="K83" s="9">
        <v>12.2692307692308</v>
      </c>
      <c r="L83" s="9">
        <v>15.472027972028</v>
      </c>
      <c r="M83" s="9">
        <v>9.4160839160839203</v>
      </c>
      <c r="N83" s="9">
        <v>15.4924431111201</v>
      </c>
      <c r="O83" s="9">
        <v>9.7570794740682505</v>
      </c>
      <c r="P83" s="9">
        <v>9.0829823862863197</v>
      </c>
      <c r="Q83" s="9">
        <v>9.5874125874125902</v>
      </c>
      <c r="R83" s="9">
        <v>0</v>
      </c>
      <c r="S83" s="9">
        <v>0</v>
      </c>
      <c r="T83" s="9">
        <v>0</v>
      </c>
      <c r="U83" s="9">
        <v>0</v>
      </c>
      <c r="V83" s="9">
        <v>0</v>
      </c>
      <c r="W83" s="9">
        <v>0</v>
      </c>
      <c r="X83" s="9">
        <v>0</v>
      </c>
      <c r="Y83" s="9">
        <v>0</v>
      </c>
      <c r="Z83" s="9">
        <v>0</v>
      </c>
      <c r="AA83" s="9">
        <v>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9">
        <v>0</v>
      </c>
      <c r="AS83" s="9">
        <v>0</v>
      </c>
      <c r="AT83" s="9">
        <v>0</v>
      </c>
      <c r="AU83" s="9">
        <v>0</v>
      </c>
      <c r="AV83" s="9">
        <v>0</v>
      </c>
      <c r="AW83" s="9">
        <v>0</v>
      </c>
      <c r="AX83" s="9">
        <f t="shared" si="33"/>
        <v>176.02457820955888</v>
      </c>
      <c r="AY83" s="9">
        <f t="shared" si="34"/>
        <v>55.920378059440488</v>
      </c>
      <c r="AZ83" s="9">
        <f t="shared" si="35"/>
        <v>46.115913436831626</v>
      </c>
      <c r="BA83" s="9">
        <f t="shared" si="36"/>
        <v>103.77614729020974</v>
      </c>
      <c r="BB83" s="9">
        <f t="shared" si="37"/>
        <v>72.248430919349133</v>
      </c>
      <c r="BC83" s="20"/>
      <c r="BD83" s="9">
        <v>123</v>
      </c>
      <c r="BF83" s="9">
        <v>114</v>
      </c>
      <c r="BH83" s="9">
        <v>26</v>
      </c>
      <c r="BI83" s="9">
        <f t="shared" si="38"/>
        <v>26</v>
      </c>
      <c r="BJ83" s="9">
        <f t="shared" si="27"/>
        <v>167.64245543767512</v>
      </c>
      <c r="BK83" s="12">
        <f t="shared" si="29"/>
        <v>26</v>
      </c>
      <c r="BP83" s="9">
        <v>25</v>
      </c>
      <c r="BQ83" s="9">
        <f t="shared" si="39"/>
        <v>25</v>
      </c>
      <c r="BR83" s="12">
        <f t="shared" si="40"/>
        <v>167.64245543767512</v>
      </c>
      <c r="BS83" s="23">
        <f t="shared" si="30"/>
        <v>25</v>
      </c>
      <c r="BU83" s="9">
        <v>0</v>
      </c>
      <c r="BW83" s="9">
        <v>4</v>
      </c>
      <c r="BX83" s="9">
        <v>22</v>
      </c>
      <c r="BY83" s="9">
        <v>15</v>
      </c>
      <c r="BZ83" s="9">
        <v>15</v>
      </c>
      <c r="CA83" s="9">
        <v>13</v>
      </c>
      <c r="CB83" s="9">
        <v>20</v>
      </c>
      <c r="CC83" s="9">
        <v>18</v>
      </c>
      <c r="CD83" s="9">
        <v>13</v>
      </c>
      <c r="CE83" s="9">
        <v>12</v>
      </c>
      <c r="CF83" s="9">
        <v>13</v>
      </c>
      <c r="CG83" s="9">
        <v>10</v>
      </c>
      <c r="CH83" s="9">
        <v>18</v>
      </c>
      <c r="CI83" s="9">
        <v>10</v>
      </c>
      <c r="CJ83" s="9">
        <v>9</v>
      </c>
      <c r="CK83" s="12">
        <f t="shared" si="31"/>
        <v>177</v>
      </c>
      <c r="CL83" s="9">
        <f t="shared" si="41"/>
        <v>54</v>
      </c>
      <c r="CM83" s="9">
        <f t="shared" si="42"/>
        <v>47</v>
      </c>
      <c r="CN83" s="9">
        <f t="shared" si="43"/>
        <v>105</v>
      </c>
      <c r="CO83" s="9">
        <f t="shared" si="47"/>
        <v>100</v>
      </c>
      <c r="CQ83" s="9">
        <f t="shared" si="44"/>
        <v>116</v>
      </c>
      <c r="CR83" s="9">
        <f t="shared" si="45"/>
        <v>72</v>
      </c>
    </row>
    <row r="84" spans="1:96" ht="29.25">
      <c r="A84" t="str">
        <f t="shared" si="28"/>
        <v>321</v>
      </c>
      <c r="B84">
        <f t="shared" si="32"/>
        <v>321</v>
      </c>
      <c r="C84" s="15" t="s">
        <v>92</v>
      </c>
      <c r="D84" s="11"/>
      <c r="E84" s="9">
        <f>SUM(398.794285714286*0.5)</f>
        <v>199.397142857143</v>
      </c>
      <c r="F84" s="9">
        <v>368.20863405056298</v>
      </c>
      <c r="G84" s="9">
        <v>362.391278905467</v>
      </c>
      <c r="H84" s="9">
        <v>372.94658406372201</v>
      </c>
      <c r="I84" s="9">
        <v>380.12475479505599</v>
      </c>
      <c r="J84" s="9">
        <v>370.88</v>
      </c>
      <c r="K84" s="9">
        <v>394.24857142857098</v>
      </c>
      <c r="L84" s="9">
        <v>384.64857142857102</v>
      </c>
      <c r="M84" s="9">
        <v>378.74</v>
      </c>
      <c r="N84" s="9">
        <v>353.98</v>
      </c>
      <c r="O84" s="9">
        <v>379.809798270893</v>
      </c>
      <c r="P84" s="9">
        <v>394.45821325648399</v>
      </c>
      <c r="Q84" s="9">
        <v>319.05187319884698</v>
      </c>
      <c r="R84" s="9">
        <v>0</v>
      </c>
      <c r="S84" s="9">
        <v>4.3497142857142901</v>
      </c>
      <c r="T84" s="9">
        <v>2.92</v>
      </c>
      <c r="U84" s="9">
        <v>18.196190476190498</v>
      </c>
      <c r="V84" s="9">
        <v>22.551904</v>
      </c>
      <c r="W84" s="9">
        <v>22.6651305683564</v>
      </c>
      <c r="X84" s="9">
        <v>29.210852088888899</v>
      </c>
      <c r="Y84" s="9">
        <v>0</v>
      </c>
      <c r="Z84" s="9">
        <v>0</v>
      </c>
      <c r="AA84" s="9">
        <v>0</v>
      </c>
      <c r="AB84" s="9">
        <v>0</v>
      </c>
      <c r="AC84" s="9">
        <v>0</v>
      </c>
      <c r="AD84" s="9">
        <v>0</v>
      </c>
      <c r="AE84" s="9">
        <v>0</v>
      </c>
      <c r="AF84" s="9">
        <v>0</v>
      </c>
      <c r="AG84" s="9">
        <v>0</v>
      </c>
      <c r="AH84" s="9">
        <v>0</v>
      </c>
      <c r="AI84" s="9">
        <v>0</v>
      </c>
      <c r="AJ84" s="9">
        <v>0</v>
      </c>
      <c r="AK84" s="9">
        <v>0</v>
      </c>
      <c r="AL84" s="9">
        <v>0</v>
      </c>
      <c r="AM84" s="9">
        <v>0</v>
      </c>
      <c r="AN84" s="9">
        <v>0</v>
      </c>
      <c r="AO84" s="9">
        <v>0</v>
      </c>
      <c r="AP84" s="9">
        <v>0</v>
      </c>
      <c r="AQ84" s="9">
        <v>0</v>
      </c>
      <c r="AR84" s="9">
        <v>0</v>
      </c>
      <c r="AS84" s="9">
        <v>0</v>
      </c>
      <c r="AT84" s="9">
        <v>2.6666666666666701</v>
      </c>
      <c r="AU84" s="9">
        <v>3.87450980392157</v>
      </c>
      <c r="AV84" s="9">
        <v>4.0470588235294098</v>
      </c>
      <c r="AW84" s="9">
        <v>3.3254901960784302</v>
      </c>
      <c r="AX84" s="9">
        <f t="shared" si="33"/>
        <v>5011.3275861228949</v>
      </c>
      <c r="AY84" s="9">
        <f t="shared" si="34"/>
        <v>1368.0908218707395</v>
      </c>
      <c r="AZ84" s="9">
        <f t="shared" si="35"/>
        <v>1631.5295717173487</v>
      </c>
      <c r="BA84" s="9">
        <f t="shared" si="36"/>
        <v>2570.606814405548</v>
      </c>
      <c r="BB84" s="9">
        <f t="shared" si="37"/>
        <v>2440.7207717173483</v>
      </c>
      <c r="BC84" s="20"/>
      <c r="BD84" s="9">
        <v>1927</v>
      </c>
      <c r="BF84" s="9">
        <v>1946</v>
      </c>
      <c r="BH84" s="9">
        <v>570</v>
      </c>
      <c r="BI84" s="9">
        <f t="shared" si="38"/>
        <v>570</v>
      </c>
      <c r="BJ84" s="9">
        <f t="shared" si="27"/>
        <v>4658.8854222553164</v>
      </c>
      <c r="BK84" s="12">
        <f t="shared" si="29"/>
        <v>570</v>
      </c>
      <c r="BP84" s="9">
        <v>224</v>
      </c>
      <c r="BQ84" s="9">
        <f t="shared" si="39"/>
        <v>224</v>
      </c>
      <c r="BR84" s="12">
        <f t="shared" si="40"/>
        <v>4658.8854222553164</v>
      </c>
      <c r="BS84" s="23">
        <f t="shared" si="30"/>
        <v>224</v>
      </c>
      <c r="BU84" s="9">
        <v>426</v>
      </c>
      <c r="BW84" s="9">
        <v>68</v>
      </c>
      <c r="BX84" s="9">
        <v>414</v>
      </c>
      <c r="BY84" s="9">
        <v>388</v>
      </c>
      <c r="BZ84" s="9">
        <v>377</v>
      </c>
      <c r="CA84" s="9">
        <v>373</v>
      </c>
      <c r="CB84" s="9">
        <v>401</v>
      </c>
      <c r="CC84" s="9">
        <v>400</v>
      </c>
      <c r="CD84" s="9">
        <v>388</v>
      </c>
      <c r="CE84" s="9">
        <v>412</v>
      </c>
      <c r="CF84" s="9">
        <v>402</v>
      </c>
      <c r="CG84" s="9">
        <v>408</v>
      </c>
      <c r="CH84" s="9">
        <v>410</v>
      </c>
      <c r="CI84" s="9">
        <v>437</v>
      </c>
      <c r="CJ84" s="9">
        <v>401</v>
      </c>
      <c r="CK84" s="12">
        <f t="shared" si="31"/>
        <v>5004</v>
      </c>
      <c r="CL84" s="9">
        <f t="shared" si="41"/>
        <v>1345</v>
      </c>
      <c r="CM84" s="9">
        <f t="shared" si="42"/>
        <v>1656</v>
      </c>
      <c r="CN84" s="9">
        <f t="shared" si="43"/>
        <v>2534</v>
      </c>
      <c r="CO84" s="9">
        <f t="shared" si="47"/>
        <v>2470</v>
      </c>
      <c r="CQ84" s="9">
        <f t="shared" si="44"/>
        <v>2741</v>
      </c>
      <c r="CR84" s="9">
        <f t="shared" si="45"/>
        <v>2470</v>
      </c>
    </row>
    <row r="85" spans="1:96" ht="29.25">
      <c r="A85" t="str">
        <f t="shared" si="28"/>
        <v>322</v>
      </c>
      <c r="B85">
        <f t="shared" si="32"/>
        <v>322</v>
      </c>
      <c r="C85" s="15" t="s">
        <v>93</v>
      </c>
      <c r="D85" s="11"/>
      <c r="E85" s="9">
        <f>SUM(98.187134502924*0.5)</f>
        <v>49.093567251461998</v>
      </c>
      <c r="F85" s="9">
        <v>76.432748538011694</v>
      </c>
      <c r="G85" s="9">
        <v>93.640350877193001</v>
      </c>
      <c r="H85" s="9">
        <v>128.97368421052599</v>
      </c>
      <c r="I85" s="9">
        <v>103.143274853801</v>
      </c>
      <c r="J85" s="9">
        <v>146.663742690058</v>
      </c>
      <c r="K85" s="9">
        <v>110.98538011695901</v>
      </c>
      <c r="L85" s="9">
        <v>134.03801169590599</v>
      </c>
      <c r="M85" s="9">
        <v>131.938596491228</v>
      </c>
      <c r="N85" s="9">
        <v>112.523391812865</v>
      </c>
      <c r="O85" s="9">
        <v>156.54385964912299</v>
      </c>
      <c r="P85" s="9">
        <v>121.84795321637399</v>
      </c>
      <c r="Q85" s="9">
        <v>119.04385964912299</v>
      </c>
      <c r="R85" s="9">
        <v>0</v>
      </c>
      <c r="S85" s="9">
        <v>0</v>
      </c>
      <c r="T85" s="9">
        <v>0</v>
      </c>
      <c r="U85" s="9">
        <v>0.97724137931034505</v>
      </c>
      <c r="V85" s="9">
        <v>1.91180722891566</v>
      </c>
      <c r="W85" s="9">
        <v>4.7812395039071296</v>
      </c>
      <c r="X85" s="9">
        <v>10.688905304196201</v>
      </c>
      <c r="Y85" s="9">
        <v>0</v>
      </c>
      <c r="Z85" s="9">
        <v>0</v>
      </c>
      <c r="AA85" s="9">
        <v>0</v>
      </c>
      <c r="AB85" s="9">
        <v>0</v>
      </c>
      <c r="AC85" s="9">
        <v>0</v>
      </c>
      <c r="AD85" s="9">
        <v>0</v>
      </c>
      <c r="AE85" s="9">
        <v>0</v>
      </c>
      <c r="AF85" s="9">
        <v>0</v>
      </c>
      <c r="AG85" s="9">
        <v>0</v>
      </c>
      <c r="AH85" s="9">
        <v>0</v>
      </c>
      <c r="AI85" s="9">
        <v>0</v>
      </c>
      <c r="AJ85" s="9">
        <v>0</v>
      </c>
      <c r="AK85" s="9">
        <v>0</v>
      </c>
      <c r="AL85" s="9">
        <v>0</v>
      </c>
      <c r="AM85" s="9">
        <v>0</v>
      </c>
      <c r="AN85" s="9">
        <v>0</v>
      </c>
      <c r="AO85" s="9">
        <v>0</v>
      </c>
      <c r="AP85" s="9">
        <v>0</v>
      </c>
      <c r="AQ85" s="9">
        <v>0</v>
      </c>
      <c r="AR85" s="9">
        <v>0</v>
      </c>
      <c r="AS85" s="9">
        <v>0</v>
      </c>
      <c r="AT85" s="9">
        <v>0</v>
      </c>
      <c r="AU85" s="9">
        <v>0</v>
      </c>
      <c r="AV85" s="9">
        <v>0</v>
      </c>
      <c r="AW85" s="9">
        <v>0</v>
      </c>
      <c r="AX85" s="9">
        <f t="shared" si="33"/>
        <v>1578.388995192407</v>
      </c>
      <c r="AY85" s="9">
        <f t="shared" si="34"/>
        <v>365.54736842105228</v>
      </c>
      <c r="AZ85" s="9">
        <f t="shared" si="35"/>
        <v>554.73417063100499</v>
      </c>
      <c r="BA85" s="9">
        <f t="shared" si="36"/>
        <v>744.37938596491131</v>
      </c>
      <c r="BB85" s="9">
        <f t="shared" si="37"/>
        <v>834.00960922749573</v>
      </c>
      <c r="BC85" s="20"/>
      <c r="BD85" s="9">
        <v>682</v>
      </c>
      <c r="BF85" s="9">
        <v>613</v>
      </c>
      <c r="BH85" s="9">
        <v>123</v>
      </c>
      <c r="BI85" s="9">
        <f t="shared" si="38"/>
        <v>123</v>
      </c>
      <c r="BJ85" s="9">
        <f t="shared" si="27"/>
        <v>1484.8684210526299</v>
      </c>
      <c r="BK85" s="12">
        <f t="shared" si="29"/>
        <v>123</v>
      </c>
      <c r="BP85" s="9">
        <v>51</v>
      </c>
      <c r="BQ85" s="9">
        <f t="shared" si="39"/>
        <v>51</v>
      </c>
      <c r="BR85" s="12">
        <f t="shared" si="40"/>
        <v>1484.8684210526299</v>
      </c>
      <c r="BS85" s="23">
        <f t="shared" si="30"/>
        <v>51</v>
      </c>
      <c r="BU85" s="9">
        <v>75</v>
      </c>
      <c r="BW85" s="9">
        <v>22</v>
      </c>
      <c r="BX85" s="9">
        <v>100</v>
      </c>
      <c r="BY85" s="9">
        <v>114</v>
      </c>
      <c r="BZ85" s="9">
        <v>79</v>
      </c>
      <c r="CA85" s="9">
        <v>106</v>
      </c>
      <c r="CB85" s="9">
        <v>134</v>
      </c>
      <c r="CC85" s="9">
        <v>111</v>
      </c>
      <c r="CD85" s="9">
        <v>155</v>
      </c>
      <c r="CE85" s="9">
        <v>123</v>
      </c>
      <c r="CF85" s="9">
        <v>148</v>
      </c>
      <c r="CG85" s="9">
        <v>146</v>
      </c>
      <c r="CH85" s="9">
        <v>112</v>
      </c>
      <c r="CI85" s="9">
        <v>163</v>
      </c>
      <c r="CJ85" s="9">
        <v>118</v>
      </c>
      <c r="CK85" s="12">
        <f t="shared" si="31"/>
        <v>1559</v>
      </c>
      <c r="CL85" s="9">
        <f t="shared" si="41"/>
        <v>349</v>
      </c>
      <c r="CM85" s="9">
        <f t="shared" si="42"/>
        <v>539</v>
      </c>
      <c r="CN85" s="9">
        <f t="shared" si="43"/>
        <v>749</v>
      </c>
      <c r="CO85" s="9">
        <f t="shared" si="47"/>
        <v>810</v>
      </c>
      <c r="CQ85" s="9">
        <f t="shared" si="44"/>
        <v>799</v>
      </c>
      <c r="CR85" s="9">
        <f t="shared" si="45"/>
        <v>810</v>
      </c>
    </row>
    <row r="86" spans="1:96" ht="29.25">
      <c r="A86" t="str">
        <f t="shared" si="28"/>
        <v>331</v>
      </c>
      <c r="B86">
        <f t="shared" si="32"/>
        <v>331</v>
      </c>
      <c r="C86" s="15" t="s">
        <v>94</v>
      </c>
      <c r="D86" s="11"/>
      <c r="E86" s="9">
        <f>SUM(288.267857142857*0.5)</f>
        <v>144.1339285714285</v>
      </c>
      <c r="F86" s="9">
        <v>326.80769230769198</v>
      </c>
      <c r="G86" s="9">
        <v>321.242603550296</v>
      </c>
      <c r="H86" s="9">
        <v>313.70525575830499</v>
      </c>
      <c r="I86" s="9">
        <v>355.14201183431999</v>
      </c>
      <c r="J86" s="9">
        <v>313.30769230769198</v>
      </c>
      <c r="K86" s="9">
        <v>302.54437869822499</v>
      </c>
      <c r="L86" s="9">
        <v>301.44970414201202</v>
      </c>
      <c r="M86" s="9">
        <v>274.91715976331398</v>
      </c>
      <c r="N86" s="9">
        <v>244.39644970414199</v>
      </c>
      <c r="O86" s="9">
        <v>201.31952662721901</v>
      </c>
      <c r="P86" s="9">
        <v>237.538461538462</v>
      </c>
      <c r="Q86" s="9">
        <v>202.03550295858</v>
      </c>
      <c r="R86" s="9">
        <v>10.463967289377299</v>
      </c>
      <c r="S86" s="9">
        <v>8.8969453846153801</v>
      </c>
      <c r="T86" s="9">
        <v>11.497012849880701</v>
      </c>
      <c r="U86" s="9">
        <v>20.1692054409171</v>
      </c>
      <c r="V86" s="9">
        <v>23.375223833995101</v>
      </c>
      <c r="W86" s="9">
        <v>45.124959239446</v>
      </c>
      <c r="X86" s="9">
        <v>48.996125186741402</v>
      </c>
      <c r="Y86" s="9">
        <v>0</v>
      </c>
      <c r="Z86" s="9">
        <v>0</v>
      </c>
      <c r="AA86" s="9">
        <v>0.48275862068965503</v>
      </c>
      <c r="AB86" s="9">
        <v>0.70175438596491202</v>
      </c>
      <c r="AC86" s="9">
        <v>1.3958333333333299</v>
      </c>
      <c r="AD86" s="9">
        <v>1.71710526315789</v>
      </c>
      <c r="AE86" s="9">
        <v>1.32098765432099</v>
      </c>
      <c r="AF86" s="9">
        <v>1.66379310344828</v>
      </c>
      <c r="AG86" s="9">
        <v>1.1340206185567001</v>
      </c>
      <c r="AH86" s="9">
        <v>0</v>
      </c>
      <c r="AI86" s="9">
        <v>0</v>
      </c>
      <c r="AJ86" s="9">
        <v>0</v>
      </c>
      <c r="AK86" s="9">
        <v>0.20512820512820501</v>
      </c>
      <c r="AL86" s="9">
        <v>1.6923076923076901</v>
      </c>
      <c r="AM86" s="9">
        <v>1.05128205128205</v>
      </c>
      <c r="AN86" s="9">
        <v>0.512820512820513</v>
      </c>
      <c r="AO86" s="9">
        <v>1.3076923076923099</v>
      </c>
      <c r="AP86" s="9">
        <v>0.66666666666666696</v>
      </c>
      <c r="AQ86" s="9">
        <v>10.911764705882399</v>
      </c>
      <c r="AR86" s="9">
        <v>20.480392156862699</v>
      </c>
      <c r="AS86" s="9">
        <v>24.598039215686299</v>
      </c>
      <c r="AT86" s="9">
        <v>12.882352941176499</v>
      </c>
      <c r="AU86" s="9">
        <v>19.282352941176502</v>
      </c>
      <c r="AV86" s="9">
        <v>22.509803921568601</v>
      </c>
      <c r="AW86" s="9">
        <v>5.4509803921568603</v>
      </c>
      <c r="AX86" s="9">
        <f t="shared" si="33"/>
        <v>4028.883225860367</v>
      </c>
      <c r="AY86" s="9">
        <f t="shared" si="34"/>
        <v>1161.1839541971074</v>
      </c>
      <c r="AZ86" s="9">
        <f t="shared" si="35"/>
        <v>1147.0780785487027</v>
      </c>
      <c r="BA86" s="9">
        <f t="shared" si="36"/>
        <v>2203.6791563261031</v>
      </c>
      <c r="BB86" s="9">
        <f t="shared" si="37"/>
        <v>1825.2040695342635</v>
      </c>
      <c r="BC86" s="20"/>
      <c r="BD86" s="9">
        <v>2589</v>
      </c>
      <c r="BF86" s="9">
        <v>2840</v>
      </c>
      <c r="BH86" s="9">
        <v>475</v>
      </c>
      <c r="BI86" s="9">
        <f t="shared" si="38"/>
        <v>475</v>
      </c>
      <c r="BJ86" s="9">
        <f t="shared" si="27"/>
        <v>3538.5403677616869</v>
      </c>
      <c r="BK86" s="12">
        <f t="shared" si="29"/>
        <v>475</v>
      </c>
      <c r="BP86" s="9">
        <v>668</v>
      </c>
      <c r="BQ86" s="9">
        <f t="shared" si="39"/>
        <v>668</v>
      </c>
      <c r="BR86" s="12">
        <f t="shared" si="40"/>
        <v>3538.5403677616869</v>
      </c>
      <c r="BS86" s="23">
        <f t="shared" si="30"/>
        <v>668</v>
      </c>
      <c r="BU86" s="9">
        <v>79</v>
      </c>
      <c r="BW86" s="9">
        <v>68</v>
      </c>
      <c r="BX86" s="9">
        <v>318</v>
      </c>
      <c r="BY86" s="9">
        <v>325</v>
      </c>
      <c r="BZ86" s="9">
        <v>343</v>
      </c>
      <c r="CA86" s="9">
        <v>345</v>
      </c>
      <c r="CB86" s="9">
        <v>333</v>
      </c>
      <c r="CC86" s="9">
        <v>379</v>
      </c>
      <c r="CD86" s="9">
        <v>340</v>
      </c>
      <c r="CE86" s="9">
        <v>342</v>
      </c>
      <c r="CF86" s="9">
        <v>331</v>
      </c>
      <c r="CG86" s="9">
        <v>322</v>
      </c>
      <c r="CH86" s="9">
        <v>273</v>
      </c>
      <c r="CI86" s="9">
        <v>235</v>
      </c>
      <c r="CJ86" s="9">
        <v>311</v>
      </c>
      <c r="CK86" s="12">
        <f t="shared" si="31"/>
        <v>4038</v>
      </c>
      <c r="CL86" s="9">
        <f t="shared" si="41"/>
        <v>1172</v>
      </c>
      <c r="CM86" s="9">
        <f t="shared" si="42"/>
        <v>1141</v>
      </c>
      <c r="CN86" s="9">
        <f t="shared" si="43"/>
        <v>2224</v>
      </c>
      <c r="CO86" s="9">
        <f t="shared" si="47"/>
        <v>1814</v>
      </c>
      <c r="CQ86" s="9">
        <f t="shared" si="44"/>
        <v>2383</v>
      </c>
      <c r="CR86" s="9">
        <f t="shared" si="45"/>
        <v>1814</v>
      </c>
    </row>
    <row r="87" spans="1:96" ht="29.25">
      <c r="A87" t="str">
        <f t="shared" si="28"/>
        <v>340</v>
      </c>
      <c r="B87">
        <f t="shared" si="32"/>
        <v>340</v>
      </c>
      <c r="C87" s="15" t="s">
        <v>95</v>
      </c>
      <c r="D87" s="11"/>
      <c r="E87" s="9">
        <f>SUM(334.344827586207*0.5)</f>
        <v>167.17241379310349</v>
      </c>
      <c r="F87" s="9">
        <v>330.68678160919501</v>
      </c>
      <c r="G87" s="9">
        <v>332.11614022202599</v>
      </c>
      <c r="H87" s="9">
        <v>308.33170518670102</v>
      </c>
      <c r="I87" s="9">
        <v>357.04310826373899</v>
      </c>
      <c r="J87" s="9">
        <v>314.64392153527302</v>
      </c>
      <c r="K87" s="9">
        <v>345.10135436068299</v>
      </c>
      <c r="L87" s="9">
        <v>350.41424394656099</v>
      </c>
      <c r="M87" s="9">
        <v>385.49821513084999</v>
      </c>
      <c r="N87" s="9">
        <v>324.04550790149801</v>
      </c>
      <c r="O87" s="9">
        <v>328.37570621468899</v>
      </c>
      <c r="P87" s="9">
        <v>290.32203389830499</v>
      </c>
      <c r="Q87" s="9">
        <v>303.516949152542</v>
      </c>
      <c r="R87" s="9">
        <v>0</v>
      </c>
      <c r="S87" s="9">
        <v>0</v>
      </c>
      <c r="T87" s="9">
        <v>0</v>
      </c>
      <c r="U87" s="9">
        <v>0.704452054794521</v>
      </c>
      <c r="V87" s="9">
        <v>11.597954802259901</v>
      </c>
      <c r="W87" s="9">
        <v>30.023600035871201</v>
      </c>
      <c r="X87" s="9">
        <v>27.0354819103765</v>
      </c>
      <c r="Y87" s="9">
        <v>0</v>
      </c>
      <c r="Z87" s="9">
        <v>0</v>
      </c>
      <c r="AA87" s="9">
        <v>0.78571428571428603</v>
      </c>
      <c r="AB87" s="9">
        <v>0.91</v>
      </c>
      <c r="AC87" s="9">
        <v>1.2325581395348799</v>
      </c>
      <c r="AD87" s="9">
        <v>1.20588235294118</v>
      </c>
      <c r="AE87" s="9">
        <v>1.1040000000000001</v>
      </c>
      <c r="AF87" s="9">
        <v>0.93577981651376196</v>
      </c>
      <c r="AG87" s="9">
        <v>1.13953488372093</v>
      </c>
      <c r="AH87" s="9">
        <v>0</v>
      </c>
      <c r="AI87" s="9">
        <v>0</v>
      </c>
      <c r="AJ87" s="9">
        <v>0</v>
      </c>
      <c r="AK87" s="9">
        <v>0.96666666666666701</v>
      </c>
      <c r="AL87" s="9">
        <v>0.1</v>
      </c>
      <c r="AM87" s="9">
        <v>3.1333333333333302</v>
      </c>
      <c r="AN87" s="9">
        <v>0.5</v>
      </c>
      <c r="AO87" s="9">
        <v>0.5</v>
      </c>
      <c r="AP87" s="9">
        <v>0.43333333333333302</v>
      </c>
      <c r="AQ87" s="9">
        <v>12.656862745098</v>
      </c>
      <c r="AR87" s="9">
        <v>12.431372549019599</v>
      </c>
      <c r="AS87" s="9">
        <v>12.3352941176471</v>
      </c>
      <c r="AT87" s="9">
        <v>15.5294117647059</v>
      </c>
      <c r="AU87" s="9">
        <v>21.7803921568627</v>
      </c>
      <c r="AV87" s="9">
        <v>14.407843137254901</v>
      </c>
      <c r="AW87" s="9">
        <v>2.59607843137255</v>
      </c>
      <c r="AX87" s="9">
        <f t="shared" si="33"/>
        <v>4526.8793091187972</v>
      </c>
      <c r="AY87" s="9">
        <f t="shared" si="34"/>
        <v>1195.2223928515771</v>
      </c>
      <c r="AZ87" s="9">
        <f t="shared" si="35"/>
        <v>1447.8316389393935</v>
      </c>
      <c r="BA87" s="9">
        <f t="shared" si="36"/>
        <v>2276.9649021016094</v>
      </c>
      <c r="BB87" s="9">
        <f t="shared" si="37"/>
        <v>2249.9144070171869</v>
      </c>
      <c r="BC87" s="20"/>
      <c r="BD87" s="9">
        <v>1677</v>
      </c>
      <c r="BF87" s="9">
        <v>1578</v>
      </c>
      <c r="BH87" s="9">
        <v>582</v>
      </c>
      <c r="BI87" s="9">
        <f t="shared" si="38"/>
        <v>582</v>
      </c>
      <c r="BJ87" s="9">
        <f t="shared" si="27"/>
        <v>4137.2680812151648</v>
      </c>
      <c r="BK87" s="12">
        <f t="shared" si="29"/>
        <v>582</v>
      </c>
      <c r="BP87" s="9">
        <v>15</v>
      </c>
      <c r="BQ87" s="9">
        <f t="shared" si="39"/>
        <v>15</v>
      </c>
      <c r="BR87" s="12">
        <f t="shared" si="40"/>
        <v>4137.2680812151648</v>
      </c>
      <c r="BS87" s="23">
        <f t="shared" si="30"/>
        <v>15</v>
      </c>
      <c r="BU87" s="9">
        <v>312</v>
      </c>
      <c r="BW87" s="9">
        <v>73</v>
      </c>
      <c r="BX87" s="9">
        <v>334</v>
      </c>
      <c r="BY87" s="9">
        <v>370</v>
      </c>
      <c r="BZ87" s="9">
        <v>353</v>
      </c>
      <c r="CA87" s="9">
        <v>354</v>
      </c>
      <c r="CB87" s="9">
        <v>321</v>
      </c>
      <c r="CC87" s="9">
        <v>380</v>
      </c>
      <c r="CD87" s="9">
        <v>331</v>
      </c>
      <c r="CE87" s="9">
        <v>394</v>
      </c>
      <c r="CF87" s="9">
        <v>374</v>
      </c>
      <c r="CG87" s="9">
        <v>399</v>
      </c>
      <c r="CH87" s="9">
        <v>355</v>
      </c>
      <c r="CI87" s="9">
        <v>367</v>
      </c>
      <c r="CJ87" s="9">
        <v>347</v>
      </c>
      <c r="CK87" s="12">
        <f t="shared" si="31"/>
        <v>4512</v>
      </c>
      <c r="CL87" s="9">
        <f t="shared" si="41"/>
        <v>1244</v>
      </c>
      <c r="CM87" s="9">
        <f t="shared" si="42"/>
        <v>1468</v>
      </c>
      <c r="CN87" s="9">
        <f t="shared" si="43"/>
        <v>2276</v>
      </c>
      <c r="CO87" s="9">
        <f t="shared" si="47"/>
        <v>2236</v>
      </c>
      <c r="CQ87" s="9">
        <f t="shared" si="44"/>
        <v>2443</v>
      </c>
      <c r="CR87" s="9">
        <f t="shared" si="45"/>
        <v>2236</v>
      </c>
    </row>
    <row r="88" spans="1:96" ht="29.25">
      <c r="A88" t="str">
        <f t="shared" si="28"/>
        <v>341</v>
      </c>
      <c r="B88">
        <f t="shared" si="32"/>
        <v>341</v>
      </c>
      <c r="C88" s="15" t="s">
        <v>96</v>
      </c>
      <c r="D88" s="11"/>
      <c r="E88" s="9">
        <f>SUM(40.796511627907*0.5)</f>
        <v>20.398255813953501</v>
      </c>
      <c r="F88" s="9">
        <v>46.154069767441896</v>
      </c>
      <c r="G88" s="9">
        <v>34.671511627907002</v>
      </c>
      <c r="H88" s="9">
        <v>32.625</v>
      </c>
      <c r="I88" s="9">
        <v>37.671511627907002</v>
      </c>
      <c r="J88" s="9">
        <v>35.5</v>
      </c>
      <c r="K88" s="9">
        <v>50.281976744185997</v>
      </c>
      <c r="L88" s="9">
        <v>34.218023255814003</v>
      </c>
      <c r="M88" s="9">
        <v>37.360465116279101</v>
      </c>
      <c r="N88" s="9">
        <v>25.8779069767442</v>
      </c>
      <c r="O88" s="9">
        <v>20.191860465116299</v>
      </c>
      <c r="P88" s="9">
        <v>29.581395348837201</v>
      </c>
      <c r="Q88" s="9">
        <v>18.5290697674419</v>
      </c>
      <c r="R88" s="9">
        <v>0</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9">
        <v>0</v>
      </c>
      <c r="AO88" s="9">
        <v>0</v>
      </c>
      <c r="AP88" s="9">
        <v>0</v>
      </c>
      <c r="AQ88" s="9">
        <v>0</v>
      </c>
      <c r="AR88" s="9">
        <v>0</v>
      </c>
      <c r="AS88" s="9">
        <v>0</v>
      </c>
      <c r="AT88" s="9">
        <v>0</v>
      </c>
      <c r="AU88" s="9">
        <v>0</v>
      </c>
      <c r="AV88" s="9">
        <v>0</v>
      </c>
      <c r="AW88" s="9">
        <v>0</v>
      </c>
      <c r="AX88" s="9">
        <f t="shared" si="33"/>
        <v>444.21409883720952</v>
      </c>
      <c r="AY88" s="9">
        <f t="shared" si="34"/>
        <v>140.54127906976751</v>
      </c>
      <c r="AZ88" s="9">
        <f t="shared" si="35"/>
        <v>98.889244186046582</v>
      </c>
      <c r="BA88" s="9">
        <f t="shared" si="36"/>
        <v>270.1674418604652</v>
      </c>
      <c r="BB88" s="9">
        <f t="shared" si="37"/>
        <v>174.04665697674434</v>
      </c>
      <c r="BC88" s="20"/>
      <c r="BD88" s="9">
        <v>436</v>
      </c>
      <c r="BF88" s="153">
        <v>216.7</v>
      </c>
      <c r="BH88" s="9">
        <v>102</v>
      </c>
      <c r="BI88" s="9">
        <f t="shared" si="38"/>
        <v>102</v>
      </c>
      <c r="BJ88" s="9">
        <f t="shared" si="27"/>
        <v>423.06104651162809</v>
      </c>
      <c r="BK88" s="12">
        <f t="shared" si="29"/>
        <v>102</v>
      </c>
      <c r="BP88" s="9">
        <v>0</v>
      </c>
      <c r="BQ88" s="9">
        <f t="shared" si="39"/>
        <v>0</v>
      </c>
      <c r="BR88" s="12">
        <f t="shared" si="40"/>
        <v>423.06104651162809</v>
      </c>
      <c r="BS88" s="23">
        <f t="shared" si="30"/>
        <v>0</v>
      </c>
      <c r="BU88" s="9">
        <v>21</v>
      </c>
      <c r="BW88" s="9">
        <v>11</v>
      </c>
      <c r="BX88" s="9">
        <v>45</v>
      </c>
      <c r="BY88" s="9">
        <v>39</v>
      </c>
      <c r="BZ88" s="9">
        <v>50</v>
      </c>
      <c r="CA88" s="9">
        <v>37</v>
      </c>
      <c r="CB88" s="9">
        <v>32</v>
      </c>
      <c r="CC88" s="9">
        <v>40</v>
      </c>
      <c r="CD88" s="9">
        <v>39</v>
      </c>
      <c r="CE88" s="9">
        <v>52</v>
      </c>
      <c r="CF88" s="9">
        <v>41</v>
      </c>
      <c r="CG88" s="9">
        <v>38</v>
      </c>
      <c r="CH88" s="9">
        <v>30</v>
      </c>
      <c r="CI88" s="9">
        <v>24</v>
      </c>
      <c r="CJ88" s="9">
        <v>37</v>
      </c>
      <c r="CK88" s="12">
        <f t="shared" si="31"/>
        <v>481.5</v>
      </c>
      <c r="CL88" s="9">
        <f t="shared" si="41"/>
        <v>148.5</v>
      </c>
      <c r="CM88" s="9">
        <f t="shared" si="42"/>
        <v>129</v>
      </c>
      <c r="CN88" s="9">
        <f t="shared" si="43"/>
        <v>259.5</v>
      </c>
      <c r="CO88" s="9">
        <f t="shared" si="47"/>
        <v>222</v>
      </c>
      <c r="CQ88" s="9">
        <f t="shared" si="44"/>
        <v>282</v>
      </c>
      <c r="CR88" s="9">
        <f t="shared" si="45"/>
        <v>222</v>
      </c>
    </row>
    <row r="89" spans="1:96" ht="29.25">
      <c r="A89" t="str">
        <f t="shared" si="28"/>
        <v>342</v>
      </c>
      <c r="B89">
        <f t="shared" si="32"/>
        <v>342</v>
      </c>
      <c r="C89" s="15" t="s">
        <v>97</v>
      </c>
      <c r="D89" s="11"/>
      <c r="E89" s="9">
        <f>SUM(6.11034482758621*0.5)</f>
        <v>3.0551724137931049</v>
      </c>
      <c r="F89" s="9">
        <v>7.1931034482758598</v>
      </c>
      <c r="G89" s="9">
        <v>6.1689655172413804</v>
      </c>
      <c r="H89" s="9">
        <v>12.5103448275862</v>
      </c>
      <c r="I89" s="9">
        <v>4.5517241379310303</v>
      </c>
      <c r="J89" s="9">
        <v>5.7068965517241397</v>
      </c>
      <c r="K89" s="9">
        <v>4.3620689655172402</v>
      </c>
      <c r="L89" s="9">
        <v>7.4620689655172399</v>
      </c>
      <c r="M89" s="9">
        <v>10.031034482758599</v>
      </c>
      <c r="N89" s="9">
        <v>9.6724137931034502</v>
      </c>
      <c r="O89" s="9">
        <v>7.0241379310344803</v>
      </c>
      <c r="P89" s="9">
        <v>6.0620689655172404</v>
      </c>
      <c r="Q89" s="9">
        <v>2.8793103448275899</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0</v>
      </c>
      <c r="AN89" s="9">
        <v>0</v>
      </c>
      <c r="AO89" s="9">
        <v>0</v>
      </c>
      <c r="AP89" s="9">
        <v>0</v>
      </c>
      <c r="AQ89" s="9">
        <v>0</v>
      </c>
      <c r="AR89" s="9">
        <v>0</v>
      </c>
      <c r="AS89" s="9">
        <v>0</v>
      </c>
      <c r="AT89" s="9">
        <v>0</v>
      </c>
      <c r="AU89" s="9">
        <v>0</v>
      </c>
      <c r="AV89" s="9">
        <v>0</v>
      </c>
      <c r="AW89" s="9">
        <v>0</v>
      </c>
      <c r="AX89" s="9">
        <f t="shared" si="33"/>
        <v>91.013275862068937</v>
      </c>
      <c r="AY89" s="9">
        <f t="shared" si="34"/>
        <v>30.373965517241377</v>
      </c>
      <c r="AZ89" s="9">
        <f t="shared" si="35"/>
        <v>26.9198275862069</v>
      </c>
      <c r="BA89" s="9">
        <f t="shared" si="36"/>
        <v>45.72568965517241</v>
      </c>
      <c r="BB89" s="9">
        <f t="shared" si="37"/>
        <v>45.287586206896535</v>
      </c>
      <c r="BC89" s="20"/>
      <c r="BD89" s="9">
        <v>58</v>
      </c>
      <c r="BF89" s="9">
        <v>50</v>
      </c>
      <c r="BH89" s="9">
        <v>17</v>
      </c>
      <c r="BI89" s="9">
        <f t="shared" si="38"/>
        <v>17</v>
      </c>
      <c r="BJ89" s="9">
        <f t="shared" si="27"/>
        <v>86.679310344827556</v>
      </c>
      <c r="BK89" s="12">
        <f t="shared" si="29"/>
        <v>17</v>
      </c>
      <c r="BP89" s="9">
        <v>0</v>
      </c>
      <c r="BQ89" s="9">
        <f t="shared" si="39"/>
        <v>0</v>
      </c>
      <c r="BR89" s="12">
        <f t="shared" si="40"/>
        <v>86.679310344827556</v>
      </c>
      <c r="BS89" s="23">
        <f t="shared" si="30"/>
        <v>0</v>
      </c>
      <c r="BU89" s="9">
        <v>0</v>
      </c>
      <c r="BW89" s="9">
        <v>1</v>
      </c>
      <c r="BX89" s="9">
        <v>6</v>
      </c>
      <c r="BY89" s="9">
        <v>7</v>
      </c>
      <c r="BZ89" s="9">
        <v>7</v>
      </c>
      <c r="CA89" s="9">
        <v>6</v>
      </c>
      <c r="CB89" s="9">
        <v>12</v>
      </c>
      <c r="CC89" s="9">
        <v>4</v>
      </c>
      <c r="CD89" s="9">
        <v>5</v>
      </c>
      <c r="CE89" s="9">
        <v>5</v>
      </c>
      <c r="CF89" s="9">
        <v>7</v>
      </c>
      <c r="CG89" s="9">
        <v>9</v>
      </c>
      <c r="CH89" s="9">
        <v>10</v>
      </c>
      <c r="CI89" s="9">
        <v>4</v>
      </c>
      <c r="CJ89" s="9">
        <v>6</v>
      </c>
      <c r="CK89" s="12">
        <f t="shared" si="31"/>
        <v>85</v>
      </c>
      <c r="CL89" s="9">
        <f t="shared" si="41"/>
        <v>23</v>
      </c>
      <c r="CM89" s="9">
        <f t="shared" si="42"/>
        <v>29</v>
      </c>
      <c r="CN89" s="9">
        <f t="shared" si="43"/>
        <v>44</v>
      </c>
      <c r="CO89" s="9">
        <f t="shared" si="47"/>
        <v>100</v>
      </c>
      <c r="CQ89" s="9">
        <f t="shared" si="44"/>
        <v>47</v>
      </c>
      <c r="CR89" s="9">
        <f t="shared" si="45"/>
        <v>41</v>
      </c>
    </row>
    <row r="90" spans="1:96" ht="29.25">
      <c r="A90" t="str">
        <f t="shared" si="28"/>
        <v>351</v>
      </c>
      <c r="B90">
        <f t="shared" si="32"/>
        <v>351</v>
      </c>
      <c r="C90" s="15" t="s">
        <v>98</v>
      </c>
      <c r="D90" s="11"/>
      <c r="E90" s="9">
        <f>SUM(135.681001604955*0.5)</f>
        <v>67.840500802477493</v>
      </c>
      <c r="F90" s="9">
        <v>130.381143325842</v>
      </c>
      <c r="G90" s="9">
        <v>137.02504048068499</v>
      </c>
      <c r="H90" s="9">
        <v>134.00774509053301</v>
      </c>
      <c r="I90" s="9">
        <v>151.01199597051399</v>
      </c>
      <c r="J90" s="9">
        <v>118.28530661620999</v>
      </c>
      <c r="K90" s="9">
        <v>108.410761423346</v>
      </c>
      <c r="L90" s="9">
        <v>95.613096343383006</v>
      </c>
      <c r="M90" s="9">
        <v>77.229113795026507</v>
      </c>
      <c r="N90" s="9">
        <v>61.537162162162197</v>
      </c>
      <c r="O90" s="9">
        <v>42.635135135135101</v>
      </c>
      <c r="P90" s="9">
        <v>51.020270270270302</v>
      </c>
      <c r="Q90" s="9">
        <v>50.929054054054099</v>
      </c>
      <c r="R90" s="9">
        <v>0</v>
      </c>
      <c r="S90" s="9">
        <v>0</v>
      </c>
      <c r="T90" s="9">
        <v>0</v>
      </c>
      <c r="U90" s="9">
        <v>1</v>
      </c>
      <c r="V90" s="9">
        <v>2.1770833333333299</v>
      </c>
      <c r="W90" s="9">
        <v>3.79388888888889</v>
      </c>
      <c r="X90" s="9">
        <v>5.2130555555555604</v>
      </c>
      <c r="Y90" s="9">
        <v>0</v>
      </c>
      <c r="Z90" s="9">
        <v>0</v>
      </c>
      <c r="AA90" s="9">
        <v>0</v>
      </c>
      <c r="AB90" s="9">
        <v>0</v>
      </c>
      <c r="AC90" s="9">
        <v>0</v>
      </c>
      <c r="AD90" s="9">
        <v>0</v>
      </c>
      <c r="AE90" s="9">
        <v>0</v>
      </c>
      <c r="AF90" s="9">
        <v>0</v>
      </c>
      <c r="AG90" s="9">
        <v>0</v>
      </c>
      <c r="AH90" s="9">
        <v>0</v>
      </c>
      <c r="AI90" s="9">
        <v>0</v>
      </c>
      <c r="AJ90" s="9">
        <v>0</v>
      </c>
      <c r="AK90" s="9">
        <v>0</v>
      </c>
      <c r="AL90" s="9">
        <v>0</v>
      </c>
      <c r="AM90" s="9">
        <v>0</v>
      </c>
      <c r="AN90" s="9">
        <v>0</v>
      </c>
      <c r="AO90" s="9">
        <v>0</v>
      </c>
      <c r="AP90" s="9">
        <v>0</v>
      </c>
      <c r="AQ90" s="9">
        <v>0</v>
      </c>
      <c r="AR90" s="9">
        <v>0</v>
      </c>
      <c r="AS90" s="9">
        <v>0</v>
      </c>
      <c r="AT90" s="9">
        <v>0</v>
      </c>
      <c r="AU90" s="9">
        <v>0</v>
      </c>
      <c r="AV90" s="9">
        <v>0</v>
      </c>
      <c r="AW90" s="9">
        <v>0</v>
      </c>
      <c r="AX90" s="9">
        <f t="shared" si="33"/>
        <v>1300.0158709097871</v>
      </c>
      <c r="AY90" s="9">
        <f t="shared" si="34"/>
        <v>492.71715118451436</v>
      </c>
      <c r="AZ90" s="9">
        <f t="shared" si="35"/>
        <v>229.22093186936945</v>
      </c>
      <c r="BA90" s="9">
        <f t="shared" si="36"/>
        <v>889.310618395088</v>
      </c>
      <c r="BB90" s="9">
        <f t="shared" si="37"/>
        <v>410.70525251469951</v>
      </c>
      <c r="BC90" s="20"/>
      <c r="BD90" s="9">
        <v>365</v>
      </c>
      <c r="BF90" s="9">
        <v>1902</v>
      </c>
      <c r="BH90" s="9">
        <v>130</v>
      </c>
      <c r="BI90" s="9">
        <f t="shared" si="38"/>
        <v>130</v>
      </c>
      <c r="BJ90" s="9">
        <f t="shared" si="27"/>
        <v>1225.9263254696386</v>
      </c>
      <c r="BK90" s="12">
        <f t="shared" si="29"/>
        <v>130</v>
      </c>
      <c r="BP90" s="9">
        <v>6</v>
      </c>
      <c r="BQ90" s="9">
        <f t="shared" si="39"/>
        <v>6</v>
      </c>
      <c r="BR90" s="12">
        <f t="shared" si="40"/>
        <v>1225.9263254696386</v>
      </c>
      <c r="BS90" s="23">
        <f t="shared" si="30"/>
        <v>6</v>
      </c>
      <c r="BU90" s="9">
        <v>83</v>
      </c>
      <c r="BW90" s="9">
        <v>1</v>
      </c>
      <c r="BX90" s="9">
        <v>224</v>
      </c>
      <c r="BY90" s="9">
        <v>269</v>
      </c>
      <c r="BZ90" s="9">
        <v>277</v>
      </c>
      <c r="CA90" s="9">
        <v>243</v>
      </c>
      <c r="CB90" s="9">
        <v>255</v>
      </c>
      <c r="CC90" s="9">
        <v>260</v>
      </c>
      <c r="CD90" s="9">
        <v>234</v>
      </c>
      <c r="CE90" s="9">
        <v>202</v>
      </c>
      <c r="CF90" s="9">
        <v>197</v>
      </c>
      <c r="CG90" s="9">
        <v>70</v>
      </c>
      <c r="CH90" s="9">
        <v>43</v>
      </c>
      <c r="CI90" s="9">
        <v>58</v>
      </c>
      <c r="CJ90" s="9">
        <v>53</v>
      </c>
      <c r="CK90" s="12">
        <f t="shared" si="31"/>
        <v>2273</v>
      </c>
      <c r="CL90" s="9">
        <f t="shared" si="41"/>
        <v>901</v>
      </c>
      <c r="CM90" s="9">
        <f t="shared" si="42"/>
        <v>224</v>
      </c>
      <c r="CN90" s="9">
        <f t="shared" si="43"/>
        <v>1650</v>
      </c>
      <c r="CO90" s="9">
        <f t="shared" si="47"/>
        <v>623</v>
      </c>
      <c r="CQ90" s="9">
        <f t="shared" si="44"/>
        <v>1762</v>
      </c>
      <c r="CR90" s="9">
        <f t="shared" si="45"/>
        <v>623</v>
      </c>
    </row>
    <row r="91" spans="1:96" ht="29.25">
      <c r="A91" t="str">
        <f t="shared" si="28"/>
        <v>363</v>
      </c>
      <c r="B91">
        <f t="shared" si="32"/>
        <v>363</v>
      </c>
      <c r="C91" s="15" t="s">
        <v>99</v>
      </c>
      <c r="D91" s="11"/>
      <c r="E91" s="9">
        <f>SUM(61.2585034013605*0.5)</f>
        <v>30.62925170068025</v>
      </c>
      <c r="F91" s="9">
        <v>54.782312925170103</v>
      </c>
      <c r="G91" s="9">
        <v>50.340136054421798</v>
      </c>
      <c r="H91" s="9">
        <v>63.578231292517003</v>
      </c>
      <c r="I91" s="9">
        <v>67.982993197278901</v>
      </c>
      <c r="J91" s="9">
        <v>60.809523809523803</v>
      </c>
      <c r="K91" s="9">
        <v>60.1020408163265</v>
      </c>
      <c r="L91" s="9">
        <v>67.1666666666667</v>
      </c>
      <c r="M91" s="9">
        <v>66.540816326530603</v>
      </c>
      <c r="N91" s="9">
        <v>73.503401360544203</v>
      </c>
      <c r="O91" s="9">
        <v>49.115646258503403</v>
      </c>
      <c r="P91" s="9">
        <v>58.867346938775498</v>
      </c>
      <c r="Q91" s="9">
        <v>46.707482993197303</v>
      </c>
      <c r="R91" s="9">
        <v>0</v>
      </c>
      <c r="S91" s="9">
        <v>0</v>
      </c>
      <c r="T91" s="9">
        <v>0</v>
      </c>
      <c r="U91" s="9">
        <v>0</v>
      </c>
      <c r="V91" s="9">
        <v>0</v>
      </c>
      <c r="W91" s="9">
        <v>0</v>
      </c>
      <c r="X91" s="9">
        <v>0</v>
      </c>
      <c r="Y91" s="9">
        <v>0</v>
      </c>
      <c r="Z91" s="9">
        <v>0</v>
      </c>
      <c r="AA91" s="9">
        <v>0</v>
      </c>
      <c r="AB91" s="9">
        <v>0</v>
      </c>
      <c r="AC91" s="9">
        <v>0</v>
      </c>
      <c r="AD91" s="9">
        <v>0</v>
      </c>
      <c r="AE91" s="9">
        <v>0</v>
      </c>
      <c r="AF91" s="9">
        <v>0</v>
      </c>
      <c r="AG91" s="9">
        <v>0</v>
      </c>
      <c r="AH91" s="9">
        <v>0</v>
      </c>
      <c r="AI91" s="9">
        <v>0</v>
      </c>
      <c r="AJ91" s="9">
        <v>0</v>
      </c>
      <c r="AK91" s="9">
        <v>0</v>
      </c>
      <c r="AL91" s="9">
        <v>0</v>
      </c>
      <c r="AM91" s="9">
        <v>0</v>
      </c>
      <c r="AN91" s="9">
        <v>0</v>
      </c>
      <c r="AO91" s="9">
        <v>0</v>
      </c>
      <c r="AP91" s="9">
        <v>0</v>
      </c>
      <c r="AQ91" s="9">
        <v>0</v>
      </c>
      <c r="AR91" s="9">
        <v>0</v>
      </c>
      <c r="AS91" s="9">
        <v>0</v>
      </c>
      <c r="AT91" s="9">
        <v>0</v>
      </c>
      <c r="AU91" s="9">
        <v>0</v>
      </c>
      <c r="AV91" s="9">
        <v>0</v>
      </c>
      <c r="AW91" s="9">
        <v>0</v>
      </c>
      <c r="AX91" s="9">
        <f t="shared" si="33"/>
        <v>787.63214285714298</v>
      </c>
      <c r="AY91" s="9">
        <f t="shared" si="34"/>
        <v>209.29642857142863</v>
      </c>
      <c r="AZ91" s="9">
        <f t="shared" si="35"/>
        <v>239.60357142857146</v>
      </c>
      <c r="BA91" s="9">
        <f t="shared" si="36"/>
        <v>407.6357142857143</v>
      </c>
      <c r="BB91" s="9">
        <f t="shared" si="37"/>
        <v>379.99642857142862</v>
      </c>
      <c r="BC91" s="20"/>
      <c r="BD91" s="9">
        <v>539</v>
      </c>
      <c r="BF91" s="9">
        <v>561</v>
      </c>
      <c r="BH91" s="9">
        <v>73</v>
      </c>
      <c r="BI91" s="9">
        <f t="shared" si="38"/>
        <v>73</v>
      </c>
      <c r="BJ91" s="9">
        <f t="shared" si="27"/>
        <v>750.12585034013614</v>
      </c>
      <c r="BK91" s="12">
        <f t="shared" si="29"/>
        <v>73</v>
      </c>
      <c r="BP91" s="9">
        <v>143</v>
      </c>
      <c r="BQ91" s="9">
        <f t="shared" si="39"/>
        <v>143</v>
      </c>
      <c r="BR91" s="12">
        <f t="shared" si="40"/>
        <v>750.12585034013614</v>
      </c>
      <c r="BS91" s="23">
        <f t="shared" si="30"/>
        <v>143</v>
      </c>
      <c r="BU91" s="9">
        <v>33</v>
      </c>
      <c r="BW91" s="9">
        <v>0</v>
      </c>
      <c r="BX91" s="9">
        <v>55</v>
      </c>
      <c r="BY91" s="9">
        <v>68</v>
      </c>
      <c r="BZ91" s="9">
        <v>59</v>
      </c>
      <c r="CA91" s="9">
        <v>63</v>
      </c>
      <c r="CB91" s="9">
        <v>60</v>
      </c>
      <c r="CC91" s="9">
        <v>76</v>
      </c>
      <c r="CD91" s="9">
        <v>69</v>
      </c>
      <c r="CE91" s="9">
        <v>67</v>
      </c>
      <c r="CF91" s="9">
        <v>72</v>
      </c>
      <c r="CG91" s="9">
        <v>85</v>
      </c>
      <c r="CH91" s="9">
        <v>61</v>
      </c>
      <c r="CI91" s="9">
        <v>59</v>
      </c>
      <c r="CJ91" s="9">
        <v>60</v>
      </c>
      <c r="CK91" s="12">
        <f t="shared" si="31"/>
        <v>826.5</v>
      </c>
      <c r="CL91" s="9">
        <f t="shared" si="41"/>
        <v>217.5</v>
      </c>
      <c r="CM91" s="9">
        <f t="shared" si="42"/>
        <v>265</v>
      </c>
      <c r="CN91" s="9">
        <f t="shared" si="43"/>
        <v>422.5</v>
      </c>
      <c r="CO91" s="9">
        <f t="shared" si="47"/>
        <v>404</v>
      </c>
      <c r="CQ91" s="9">
        <f t="shared" si="44"/>
        <v>450</v>
      </c>
      <c r="CR91" s="9">
        <f t="shared" si="45"/>
        <v>404</v>
      </c>
    </row>
    <row r="92" spans="1:96" ht="29.25">
      <c r="A92" t="str">
        <f t="shared" si="28"/>
        <v>364</v>
      </c>
      <c r="B92">
        <f t="shared" si="32"/>
        <v>364</v>
      </c>
      <c r="C92" s="15" t="s">
        <v>100</v>
      </c>
      <c r="D92" s="11"/>
      <c r="E92" s="9">
        <f>SUM(2.87323943661972*0.5)</f>
        <v>1.4366197183098599</v>
      </c>
      <c r="F92" s="9">
        <v>0.95070422535211296</v>
      </c>
      <c r="G92" s="9">
        <v>0.95774647887323905</v>
      </c>
      <c r="H92" s="9">
        <v>0.96478873239436602</v>
      </c>
      <c r="I92" s="9">
        <v>1.9366197183098599</v>
      </c>
      <c r="J92" s="9">
        <v>0</v>
      </c>
      <c r="K92" s="9">
        <v>1.94366197183099</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9">
        <v>0</v>
      </c>
      <c r="AO92" s="9">
        <v>0</v>
      </c>
      <c r="AP92" s="9">
        <v>0</v>
      </c>
      <c r="AQ92" s="9">
        <v>0</v>
      </c>
      <c r="AR92" s="9">
        <v>0</v>
      </c>
      <c r="AS92" s="9">
        <v>0</v>
      </c>
      <c r="AT92" s="9">
        <v>0</v>
      </c>
      <c r="AU92" s="9">
        <v>0</v>
      </c>
      <c r="AV92" s="9">
        <v>0</v>
      </c>
      <c r="AW92" s="9">
        <v>0</v>
      </c>
      <c r="AX92" s="9">
        <f t="shared" si="33"/>
        <v>8.5996478873239486</v>
      </c>
      <c r="AY92" s="9">
        <f t="shared" si="34"/>
        <v>4.5253521126760567</v>
      </c>
      <c r="AZ92" s="9">
        <f t="shared" si="35"/>
        <v>0</v>
      </c>
      <c r="BA92" s="9">
        <f t="shared" si="36"/>
        <v>8.5996478873239486</v>
      </c>
      <c r="BB92" s="9">
        <f t="shared" si="37"/>
        <v>0</v>
      </c>
      <c r="BC92" s="20"/>
      <c r="BD92" s="230">
        <v>2.66</v>
      </c>
      <c r="BF92" s="153">
        <v>2.58</v>
      </c>
      <c r="BH92" s="9" t="e">
        <v>#N/A</v>
      </c>
      <c r="BI92" s="9" t="str">
        <f t="shared" si="38"/>
        <v/>
      </c>
      <c r="BJ92" s="9" t="str">
        <f t="shared" si="27"/>
        <v/>
      </c>
      <c r="BK92" s="12">
        <f t="shared" si="29"/>
        <v>1.0160932441191366</v>
      </c>
      <c r="BP92" s="9">
        <v>0</v>
      </c>
      <c r="BQ92" s="9">
        <f t="shared" si="39"/>
        <v>0</v>
      </c>
      <c r="BR92" s="12">
        <f t="shared" si="40"/>
        <v>8.1901408450704274</v>
      </c>
      <c r="BS92" s="23">
        <f t="shared" si="30"/>
        <v>0</v>
      </c>
      <c r="BU92" s="9">
        <v>0</v>
      </c>
      <c r="BW92" s="9">
        <v>0</v>
      </c>
      <c r="BX92" s="9">
        <v>0</v>
      </c>
      <c r="BY92" s="9">
        <v>3</v>
      </c>
      <c r="BZ92" s="9">
        <v>0</v>
      </c>
      <c r="CA92" s="9">
        <v>1</v>
      </c>
      <c r="CB92" s="9">
        <v>1</v>
      </c>
      <c r="CC92" s="9">
        <v>1</v>
      </c>
      <c r="CD92" s="9">
        <v>0</v>
      </c>
      <c r="CE92" s="9">
        <v>0</v>
      </c>
      <c r="CF92" s="9">
        <v>0</v>
      </c>
      <c r="CG92" s="9">
        <v>0</v>
      </c>
      <c r="CH92" s="9">
        <v>0</v>
      </c>
      <c r="CI92" s="9">
        <v>0</v>
      </c>
      <c r="CJ92" s="9">
        <v>0</v>
      </c>
      <c r="CK92" s="12">
        <f t="shared" si="31"/>
        <v>6</v>
      </c>
      <c r="CL92" s="9">
        <f t="shared" si="41"/>
        <v>4</v>
      </c>
      <c r="CM92" s="9">
        <f t="shared" si="42"/>
        <v>0</v>
      </c>
      <c r="CN92" s="9">
        <f t="shared" si="43"/>
        <v>6</v>
      </c>
      <c r="CO92" s="207">
        <f t="shared" ref="CO92:CO132" si="48">SUM(CE92:CJ92)</f>
        <v>0</v>
      </c>
      <c r="CQ92" s="9">
        <f t="shared" si="44"/>
        <v>6</v>
      </c>
      <c r="CR92" s="9">
        <f t="shared" si="45"/>
        <v>0</v>
      </c>
    </row>
    <row r="93" spans="1:96" ht="43.5">
      <c r="A93" t="str">
        <f t="shared" si="28"/>
        <v>365</v>
      </c>
      <c r="B93">
        <f t="shared" si="32"/>
        <v>365</v>
      </c>
      <c r="C93" s="15" t="s">
        <v>101</v>
      </c>
      <c r="D93" s="11"/>
      <c r="E93" s="9">
        <f>SUM(14.2915173338862*0.5)</f>
        <v>7.1457586669430997</v>
      </c>
      <c r="F93" s="9">
        <v>24.2937062937063</v>
      </c>
      <c r="G93" s="9">
        <v>17</v>
      </c>
      <c r="H93" s="9">
        <v>25.419580419580399</v>
      </c>
      <c r="I93" s="9">
        <v>22.769230769230798</v>
      </c>
      <c r="J93" s="9">
        <v>28.216783216783199</v>
      </c>
      <c r="K93" s="9">
        <v>20.930069930069902</v>
      </c>
      <c r="L93" s="9">
        <v>28.1993006993007</v>
      </c>
      <c r="M93" s="9">
        <v>27.4020979020979</v>
      </c>
      <c r="N93" s="9">
        <v>21.562937062937099</v>
      </c>
      <c r="O93" s="9">
        <v>24.069930069930098</v>
      </c>
      <c r="P93" s="9">
        <v>16.3496503496504</v>
      </c>
      <c r="Q93" s="9">
        <v>14.0944055944056</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v>0</v>
      </c>
      <c r="AX93" s="9">
        <f t="shared" si="33"/>
        <v>291.32612352336724</v>
      </c>
      <c r="AY93" s="9">
        <f t="shared" si="34"/>
        <v>77.551997649241301</v>
      </c>
      <c r="AZ93" s="9">
        <f t="shared" si="35"/>
        <v>79.88076923076936</v>
      </c>
      <c r="BA93" s="9">
        <f t="shared" si="36"/>
        <v>153.0638857611294</v>
      </c>
      <c r="BB93" s="9">
        <f t="shared" si="37"/>
        <v>138.2622377622379</v>
      </c>
      <c r="BC93" s="20"/>
      <c r="BD93" s="9">
        <v>208</v>
      </c>
      <c r="BF93" s="9">
        <v>180</v>
      </c>
      <c r="BH93" s="9">
        <v>32</v>
      </c>
      <c r="BI93" s="9">
        <f t="shared" si="38"/>
        <v>32</v>
      </c>
      <c r="BJ93" s="9">
        <f t="shared" si="27"/>
        <v>277.45345097463547</v>
      </c>
      <c r="BK93" s="12">
        <f t="shared" si="29"/>
        <v>32</v>
      </c>
      <c r="BP93" s="9">
        <v>53</v>
      </c>
      <c r="BQ93" s="9">
        <f t="shared" si="39"/>
        <v>53</v>
      </c>
      <c r="BR93" s="12">
        <f t="shared" si="40"/>
        <v>277.45345097463547</v>
      </c>
      <c r="BS93" s="23">
        <f t="shared" si="30"/>
        <v>53</v>
      </c>
      <c r="BU93" s="9">
        <v>4</v>
      </c>
      <c r="BW93" s="9">
        <v>3</v>
      </c>
      <c r="BX93" s="9">
        <v>19</v>
      </c>
      <c r="BY93" s="9">
        <v>16</v>
      </c>
      <c r="BZ93" s="9">
        <v>25</v>
      </c>
      <c r="CA93" s="9">
        <v>18</v>
      </c>
      <c r="CB93" s="9">
        <v>25</v>
      </c>
      <c r="CC93" s="9">
        <v>23</v>
      </c>
      <c r="CD93" s="9">
        <v>27</v>
      </c>
      <c r="CE93" s="9">
        <v>21</v>
      </c>
      <c r="CF93" s="9">
        <v>30</v>
      </c>
      <c r="CG93" s="9">
        <v>29</v>
      </c>
      <c r="CH93" s="9">
        <v>23</v>
      </c>
      <c r="CI93" s="9">
        <v>28</v>
      </c>
      <c r="CJ93" s="9">
        <v>16</v>
      </c>
      <c r="CK93" s="12">
        <f t="shared" si="31"/>
        <v>290.5</v>
      </c>
      <c r="CL93" s="9">
        <f t="shared" si="41"/>
        <v>68.5</v>
      </c>
      <c r="CM93" s="9">
        <f t="shared" si="42"/>
        <v>96</v>
      </c>
      <c r="CN93" s="9">
        <f t="shared" si="43"/>
        <v>143.5</v>
      </c>
      <c r="CO93" s="9">
        <f t="shared" ref="CO93:CO99" si="49">MAX($D$181,(SUM(CE93:CJ93)))</f>
        <v>147</v>
      </c>
      <c r="CQ93" s="9">
        <f t="shared" si="44"/>
        <v>153</v>
      </c>
      <c r="CR93" s="9">
        <f t="shared" si="45"/>
        <v>147</v>
      </c>
    </row>
    <row r="94" spans="1:96" ht="29.25">
      <c r="A94" t="str">
        <f t="shared" si="28"/>
        <v>370</v>
      </c>
      <c r="B94">
        <f t="shared" si="32"/>
        <v>370</v>
      </c>
      <c r="C94" s="15" t="s">
        <v>102</v>
      </c>
      <c r="D94" s="11"/>
      <c r="E94" s="9">
        <f>SUM(86.0748090194307*0.5)</f>
        <v>43.037404509715351</v>
      </c>
      <c r="F94" s="9">
        <v>94.464539007092199</v>
      </c>
      <c r="G94" s="9">
        <v>75.117021276595807</v>
      </c>
      <c r="H94" s="9">
        <v>96.390070921985796</v>
      </c>
      <c r="I94" s="9">
        <v>90.418439716312093</v>
      </c>
      <c r="J94" s="9">
        <v>93.083916083916094</v>
      </c>
      <c r="K94" s="9">
        <v>92.699300699300693</v>
      </c>
      <c r="L94" s="9">
        <v>83.031468531468505</v>
      </c>
      <c r="M94" s="9">
        <v>86.6013986013986</v>
      </c>
      <c r="N94" s="9">
        <v>90.262237762237802</v>
      </c>
      <c r="O94" s="9">
        <v>83.391608391608401</v>
      </c>
      <c r="P94" s="9">
        <v>93.996503496503493</v>
      </c>
      <c r="Q94" s="9">
        <v>79.258741258741296</v>
      </c>
      <c r="R94" s="9">
        <v>0</v>
      </c>
      <c r="S94" s="9">
        <v>0</v>
      </c>
      <c r="T94" s="9">
        <v>0</v>
      </c>
      <c r="U94" s="9">
        <v>0</v>
      </c>
      <c r="V94" s="9">
        <v>0</v>
      </c>
      <c r="W94" s="9">
        <v>0</v>
      </c>
      <c r="X94" s="9">
        <v>0</v>
      </c>
      <c r="Y94" s="9">
        <v>0</v>
      </c>
      <c r="Z94" s="9">
        <v>0</v>
      </c>
      <c r="AA94" s="9">
        <v>0</v>
      </c>
      <c r="AB94" s="9">
        <v>0</v>
      </c>
      <c r="AC94" s="9">
        <v>0</v>
      </c>
      <c r="AD94" s="9">
        <v>0</v>
      </c>
      <c r="AE94" s="9">
        <v>0</v>
      </c>
      <c r="AF94" s="9">
        <v>0</v>
      </c>
      <c r="AG94" s="9">
        <v>0</v>
      </c>
      <c r="AH94" s="9">
        <v>0</v>
      </c>
      <c r="AI94" s="9">
        <v>0</v>
      </c>
      <c r="AJ94" s="9">
        <v>0</v>
      </c>
      <c r="AK94" s="9">
        <v>0</v>
      </c>
      <c r="AL94" s="9">
        <v>0</v>
      </c>
      <c r="AM94" s="9">
        <v>0</v>
      </c>
      <c r="AN94" s="9">
        <v>0</v>
      </c>
      <c r="AO94" s="9">
        <v>0</v>
      </c>
      <c r="AP94" s="9">
        <v>0</v>
      </c>
      <c r="AQ94" s="9">
        <v>0</v>
      </c>
      <c r="AR94" s="9">
        <v>0</v>
      </c>
      <c r="AS94" s="9">
        <v>0</v>
      </c>
      <c r="AT94" s="9">
        <v>0</v>
      </c>
      <c r="AU94" s="9">
        <v>0</v>
      </c>
      <c r="AV94" s="9">
        <v>0</v>
      </c>
      <c r="AW94" s="9">
        <v>0</v>
      </c>
      <c r="AX94" s="9">
        <f t="shared" si="33"/>
        <v>1156.8402827697198</v>
      </c>
      <c r="AY94" s="9">
        <f t="shared" si="34"/>
        <v>324.45948750115861</v>
      </c>
      <c r="AZ94" s="9">
        <f t="shared" si="35"/>
        <v>364.25454545454551</v>
      </c>
      <c r="BA94" s="9">
        <f t="shared" si="36"/>
        <v>614.47122682566396</v>
      </c>
      <c r="BB94" s="9">
        <f t="shared" si="37"/>
        <v>542.36905594405596</v>
      </c>
      <c r="BC94" s="20"/>
      <c r="BD94" s="9">
        <v>793</v>
      </c>
      <c r="BF94" s="9">
        <v>755</v>
      </c>
      <c r="BH94" s="9">
        <v>117</v>
      </c>
      <c r="BI94" s="9">
        <f t="shared" si="38"/>
        <v>117</v>
      </c>
      <c r="BJ94" s="9">
        <f t="shared" si="27"/>
        <v>1101.752650256876</v>
      </c>
      <c r="BK94" s="12">
        <f t="shared" si="29"/>
        <v>117</v>
      </c>
      <c r="BP94" s="9">
        <v>196</v>
      </c>
      <c r="BQ94" s="9">
        <f t="shared" si="39"/>
        <v>196</v>
      </c>
      <c r="BR94" s="12">
        <f t="shared" si="40"/>
        <v>1101.752650256876</v>
      </c>
      <c r="BS94" s="23">
        <f t="shared" si="30"/>
        <v>196</v>
      </c>
      <c r="BU94" s="9">
        <v>39</v>
      </c>
      <c r="BW94" s="9">
        <v>0</v>
      </c>
      <c r="BX94" s="9">
        <v>80</v>
      </c>
      <c r="BY94" s="9">
        <v>108</v>
      </c>
      <c r="BZ94" s="9">
        <v>83</v>
      </c>
      <c r="CA94" s="9">
        <v>81</v>
      </c>
      <c r="CB94" s="9">
        <v>102</v>
      </c>
      <c r="CC94" s="9">
        <v>95</v>
      </c>
      <c r="CD94" s="9">
        <v>101</v>
      </c>
      <c r="CE94" s="9">
        <v>101</v>
      </c>
      <c r="CF94" s="9">
        <v>92</v>
      </c>
      <c r="CG94" s="9">
        <v>90</v>
      </c>
      <c r="CH94" s="9">
        <v>88</v>
      </c>
      <c r="CI94" s="9">
        <v>91</v>
      </c>
      <c r="CJ94" s="9">
        <v>96</v>
      </c>
      <c r="CK94" s="12">
        <f t="shared" si="31"/>
        <v>1168</v>
      </c>
      <c r="CL94" s="9">
        <f t="shared" si="41"/>
        <v>312</v>
      </c>
      <c r="CM94" s="9">
        <f t="shared" si="42"/>
        <v>365</v>
      </c>
      <c r="CN94" s="9">
        <f t="shared" si="43"/>
        <v>610</v>
      </c>
      <c r="CO94" s="9">
        <f t="shared" si="49"/>
        <v>558</v>
      </c>
      <c r="CQ94" s="9">
        <f t="shared" si="44"/>
        <v>650</v>
      </c>
      <c r="CR94" s="9">
        <f t="shared" si="45"/>
        <v>558</v>
      </c>
    </row>
    <row r="95" spans="1:96" ht="29.25">
      <c r="A95" t="str">
        <f t="shared" si="28"/>
        <v>371</v>
      </c>
      <c r="B95">
        <f t="shared" si="32"/>
        <v>371</v>
      </c>
      <c r="C95" s="15" t="s">
        <v>103</v>
      </c>
      <c r="D95" s="11"/>
      <c r="E95" s="9">
        <f>SUM(96.25*0.5)</f>
        <v>48.125</v>
      </c>
      <c r="F95" s="9">
        <v>130.05357142857099</v>
      </c>
      <c r="G95" s="9">
        <v>119.24702380952399</v>
      </c>
      <c r="H95" s="9">
        <v>99.110119047619094</v>
      </c>
      <c r="I95" s="9">
        <v>113.824404761905</v>
      </c>
      <c r="J95" s="9">
        <v>119.66369047619</v>
      </c>
      <c r="K95" s="9">
        <v>105.183431952663</v>
      </c>
      <c r="L95" s="9">
        <v>98.251497005988</v>
      </c>
      <c r="M95" s="9">
        <v>102.51497005988</v>
      </c>
      <c r="N95" s="9">
        <v>119.29041916167699</v>
      </c>
      <c r="O95" s="9">
        <v>94.476047904191603</v>
      </c>
      <c r="P95" s="9">
        <v>92.176646706586794</v>
      </c>
      <c r="Q95" s="9">
        <v>107.65868263473099</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9">
        <v>0</v>
      </c>
      <c r="AN95" s="9">
        <v>0</v>
      </c>
      <c r="AO95" s="9">
        <v>0</v>
      </c>
      <c r="AP95" s="9">
        <v>0</v>
      </c>
      <c r="AQ95" s="9">
        <v>0</v>
      </c>
      <c r="AR95" s="9">
        <v>11.377764705882401</v>
      </c>
      <c r="AS95" s="9">
        <v>7.7366274509803903</v>
      </c>
      <c r="AT95" s="9">
        <v>5.2154901960784299</v>
      </c>
      <c r="AU95" s="9">
        <v>5.1772941176470599</v>
      </c>
      <c r="AV95" s="9">
        <v>3.19545098039216</v>
      </c>
      <c r="AW95" s="9">
        <v>2.97423529411765</v>
      </c>
      <c r="AX95" s="9">
        <f t="shared" si="33"/>
        <v>1454.5149860793558</v>
      </c>
      <c r="AY95" s="9">
        <f t="shared" si="34"/>
        <v>416.36249999999978</v>
      </c>
      <c r="AZ95" s="9">
        <f t="shared" si="35"/>
        <v>451.67248034519281</v>
      </c>
      <c r="BA95" s="9">
        <f t="shared" si="36"/>
        <v>771.96760355029573</v>
      </c>
      <c r="BB95" s="9">
        <f t="shared" si="37"/>
        <v>682.5473825290602</v>
      </c>
      <c r="BC95" s="20"/>
      <c r="BD95" s="9">
        <v>1286.2</v>
      </c>
      <c r="BF95" s="153">
        <v>663.44</v>
      </c>
      <c r="BH95" s="9">
        <v>179</v>
      </c>
      <c r="BI95" s="9">
        <f t="shared" si="38"/>
        <v>179</v>
      </c>
      <c r="BJ95" s="9">
        <f t="shared" si="27"/>
        <v>1349.5755049495262</v>
      </c>
      <c r="BK95" s="12">
        <f t="shared" si="29"/>
        <v>179</v>
      </c>
      <c r="BP95" s="9">
        <v>230</v>
      </c>
      <c r="BQ95" s="9">
        <f t="shared" si="39"/>
        <v>230</v>
      </c>
      <c r="BR95" s="12">
        <f t="shared" si="40"/>
        <v>1349.5755049495262</v>
      </c>
      <c r="BS95" s="23">
        <f t="shared" si="30"/>
        <v>230</v>
      </c>
      <c r="BU95" s="9">
        <v>232</v>
      </c>
      <c r="BW95" s="9">
        <v>19</v>
      </c>
      <c r="BX95" s="9">
        <v>120</v>
      </c>
      <c r="BY95" s="9">
        <v>106</v>
      </c>
      <c r="BZ95" s="9">
        <v>136</v>
      </c>
      <c r="CA95" s="9">
        <v>126</v>
      </c>
      <c r="CB95" s="9">
        <v>110</v>
      </c>
      <c r="CC95" s="9">
        <v>123</v>
      </c>
      <c r="CD95" s="9">
        <v>133</v>
      </c>
      <c r="CE95" s="9">
        <v>124</v>
      </c>
      <c r="CF95" s="9">
        <v>111</v>
      </c>
      <c r="CG95" s="9">
        <v>147</v>
      </c>
      <c r="CH95" s="9">
        <v>111</v>
      </c>
      <c r="CI95" s="9">
        <v>98</v>
      </c>
      <c r="CJ95" s="9">
        <v>98</v>
      </c>
      <c r="CK95" s="12">
        <f t="shared" si="31"/>
        <v>1483</v>
      </c>
      <c r="CL95" s="9">
        <f t="shared" si="41"/>
        <v>428</v>
      </c>
      <c r="CM95" s="9">
        <f t="shared" si="42"/>
        <v>454</v>
      </c>
      <c r="CN95" s="9">
        <f t="shared" si="43"/>
        <v>794</v>
      </c>
      <c r="CO95" s="9">
        <f t="shared" si="49"/>
        <v>689</v>
      </c>
      <c r="CQ95" s="9">
        <f t="shared" si="44"/>
        <v>854</v>
      </c>
      <c r="CR95" s="9">
        <f t="shared" si="45"/>
        <v>689</v>
      </c>
    </row>
    <row r="96" spans="1:96" ht="29.25">
      <c r="A96" t="str">
        <f t="shared" si="28"/>
        <v>372</v>
      </c>
      <c r="B96">
        <f t="shared" si="32"/>
        <v>372</v>
      </c>
      <c r="C96" s="15" t="s">
        <v>104</v>
      </c>
      <c r="D96" s="11"/>
      <c r="E96" s="9">
        <f>SUM(67.5618751638147*0.5)</f>
        <v>33.780937581907352</v>
      </c>
      <c r="F96" s="9">
        <v>62.447368421052602</v>
      </c>
      <c r="G96" s="9">
        <v>72.312865497076004</v>
      </c>
      <c r="H96" s="9">
        <v>65.552631578947398</v>
      </c>
      <c r="I96" s="9">
        <v>77.795321637426895</v>
      </c>
      <c r="J96" s="9">
        <v>70.774853801169598</v>
      </c>
      <c r="K96" s="9">
        <v>85.307246376811605</v>
      </c>
      <c r="L96" s="9">
        <v>70.028985507246404</v>
      </c>
      <c r="M96" s="9">
        <v>78.269565217391303</v>
      </c>
      <c r="N96" s="9">
        <v>71.168604651162795</v>
      </c>
      <c r="O96" s="9">
        <v>73.8720930232558</v>
      </c>
      <c r="P96" s="9">
        <v>69.857558139534902</v>
      </c>
      <c r="Q96" s="9">
        <v>62.072674418604599</v>
      </c>
      <c r="R96" s="9">
        <v>0</v>
      </c>
      <c r="S96" s="9">
        <v>0</v>
      </c>
      <c r="T96" s="9">
        <v>0</v>
      </c>
      <c r="U96" s="9">
        <v>0</v>
      </c>
      <c r="V96" s="9">
        <v>0</v>
      </c>
      <c r="W96" s="9">
        <v>0</v>
      </c>
      <c r="X96" s="9">
        <v>0</v>
      </c>
      <c r="Y96" s="9">
        <v>0</v>
      </c>
      <c r="Z96" s="9">
        <v>0</v>
      </c>
      <c r="AA96" s="9">
        <v>0</v>
      </c>
      <c r="AB96" s="9">
        <v>0</v>
      </c>
      <c r="AC96" s="9">
        <v>0</v>
      </c>
      <c r="AD96" s="9">
        <v>0</v>
      </c>
      <c r="AE96" s="9">
        <v>0</v>
      </c>
      <c r="AF96" s="9">
        <v>0</v>
      </c>
      <c r="AG96" s="9">
        <v>0</v>
      </c>
      <c r="AH96" s="9">
        <v>0</v>
      </c>
      <c r="AI96" s="9">
        <v>0</v>
      </c>
      <c r="AJ96" s="9">
        <v>0</v>
      </c>
      <c r="AK96" s="9">
        <v>0</v>
      </c>
      <c r="AL96" s="9">
        <v>0</v>
      </c>
      <c r="AM96" s="9">
        <v>0</v>
      </c>
      <c r="AN96" s="9">
        <v>0</v>
      </c>
      <c r="AO96" s="9">
        <v>0</v>
      </c>
      <c r="AP96" s="9">
        <v>0</v>
      </c>
      <c r="AQ96" s="9">
        <v>5.3960784313725503</v>
      </c>
      <c r="AR96" s="9">
        <v>5.0509803921568599</v>
      </c>
      <c r="AS96" s="9">
        <v>3.6078431372548998</v>
      </c>
      <c r="AT96" s="9">
        <v>4.1098039215686297</v>
      </c>
      <c r="AU96" s="9">
        <v>5.4117647058823497</v>
      </c>
      <c r="AV96" s="9">
        <v>5.8196078431372502</v>
      </c>
      <c r="AW96" s="9">
        <v>0</v>
      </c>
      <c r="AX96" s="9">
        <f t="shared" si="33"/>
        <v>968.76862349710791</v>
      </c>
      <c r="AY96" s="9">
        <f t="shared" si="34"/>
        <v>245.79849323293251</v>
      </c>
      <c r="AZ96" s="9">
        <f t="shared" si="35"/>
        <v>306.92771203830364</v>
      </c>
      <c r="BA96" s="9">
        <f t="shared" si="36"/>
        <v>497.03566849205214</v>
      </c>
      <c r="BB96" s="9">
        <f t="shared" si="37"/>
        <v>471.73295500505554</v>
      </c>
      <c r="BC96" s="20"/>
      <c r="BD96" s="9">
        <v>410</v>
      </c>
      <c r="BF96" s="9">
        <v>448</v>
      </c>
      <c r="BH96" s="9">
        <v>85</v>
      </c>
      <c r="BI96" s="9">
        <f t="shared" si="38"/>
        <v>85</v>
      </c>
      <c r="BJ96" s="9">
        <f t="shared" si="27"/>
        <v>893.24070585158734</v>
      </c>
      <c r="BK96" s="12">
        <f t="shared" si="29"/>
        <v>85</v>
      </c>
      <c r="BP96" s="9">
        <v>63</v>
      </c>
      <c r="BQ96" s="9">
        <f t="shared" si="39"/>
        <v>63</v>
      </c>
      <c r="BR96" s="12">
        <f t="shared" si="40"/>
        <v>893.24070585158734</v>
      </c>
      <c r="BS96" s="23">
        <f t="shared" si="30"/>
        <v>63</v>
      </c>
      <c r="BU96" s="9">
        <v>0</v>
      </c>
      <c r="BW96" s="9">
        <v>12</v>
      </c>
      <c r="BX96" s="9">
        <v>69</v>
      </c>
      <c r="BY96" s="9">
        <v>76</v>
      </c>
      <c r="BZ96" s="9">
        <v>66</v>
      </c>
      <c r="CA96" s="9">
        <v>72</v>
      </c>
      <c r="CB96" s="9">
        <v>70</v>
      </c>
      <c r="CC96" s="9">
        <v>81</v>
      </c>
      <c r="CD96" s="9">
        <v>71</v>
      </c>
      <c r="CE96" s="9">
        <v>90</v>
      </c>
      <c r="CF96" s="9">
        <v>77</v>
      </c>
      <c r="CG96" s="9">
        <v>87</v>
      </c>
      <c r="CH96" s="9">
        <v>78</v>
      </c>
      <c r="CI96" s="9">
        <v>81</v>
      </c>
      <c r="CJ96" s="9">
        <v>64</v>
      </c>
      <c r="CK96" s="12">
        <f t="shared" si="31"/>
        <v>947.5</v>
      </c>
      <c r="CL96" s="9">
        <f t="shared" si="41"/>
        <v>248.5</v>
      </c>
      <c r="CM96" s="9">
        <f t="shared" si="42"/>
        <v>310</v>
      </c>
      <c r="CN96" s="9">
        <f t="shared" si="43"/>
        <v>470.5</v>
      </c>
      <c r="CO96" s="9">
        <f t="shared" si="49"/>
        <v>477</v>
      </c>
      <c r="CQ96" s="9">
        <f t="shared" si="44"/>
        <v>505</v>
      </c>
      <c r="CR96" s="9">
        <f t="shared" si="45"/>
        <v>477</v>
      </c>
    </row>
    <row r="97" spans="1:96" ht="29.25">
      <c r="A97" t="str">
        <f t="shared" si="28"/>
        <v>373</v>
      </c>
      <c r="B97">
        <f t="shared" si="32"/>
        <v>373</v>
      </c>
      <c r="C97" s="15" t="s">
        <v>105</v>
      </c>
      <c r="D97" s="11"/>
      <c r="E97" s="9">
        <f>SUM(118.573964497041*0.5)</f>
        <v>59.286982248520502</v>
      </c>
      <c r="F97" s="9">
        <v>131.48520710059199</v>
      </c>
      <c r="G97" s="9">
        <v>125.585798816568</v>
      </c>
      <c r="H97" s="9">
        <v>137.56508875739601</v>
      </c>
      <c r="I97" s="9">
        <v>127.233727810651</v>
      </c>
      <c r="J97" s="9">
        <v>132.791666666667</v>
      </c>
      <c r="K97" s="9">
        <v>122.53571428571399</v>
      </c>
      <c r="L97" s="9">
        <v>137.47321428571399</v>
      </c>
      <c r="M97" s="9">
        <v>144.88690476190499</v>
      </c>
      <c r="N97" s="9">
        <v>119.17261904761899</v>
      </c>
      <c r="O97" s="9">
        <v>127.080357142857</v>
      </c>
      <c r="P97" s="9">
        <v>126.53869047619</v>
      </c>
      <c r="Q97" s="9">
        <v>99.660714285714306</v>
      </c>
      <c r="R97" s="9">
        <v>0</v>
      </c>
      <c r="S97" s="9">
        <v>0</v>
      </c>
      <c r="T97" s="9">
        <v>0</v>
      </c>
      <c r="U97" s="9">
        <v>1.7681405714285701</v>
      </c>
      <c r="V97" s="9">
        <v>2.2616000000000001</v>
      </c>
      <c r="W97" s="9">
        <v>8.2400994285714297</v>
      </c>
      <c r="X97" s="9">
        <v>10.7313177142857</v>
      </c>
      <c r="Y97" s="9">
        <v>0</v>
      </c>
      <c r="Z97" s="9">
        <v>0</v>
      </c>
      <c r="AA97" s="9">
        <v>0</v>
      </c>
      <c r="AB97" s="9">
        <v>0</v>
      </c>
      <c r="AC97" s="9">
        <v>0</v>
      </c>
      <c r="AD97" s="9">
        <v>0</v>
      </c>
      <c r="AE97" s="9">
        <v>0</v>
      </c>
      <c r="AF97" s="9">
        <v>0</v>
      </c>
      <c r="AG97" s="9">
        <v>0</v>
      </c>
      <c r="AH97" s="9">
        <v>0</v>
      </c>
      <c r="AI97" s="9">
        <v>0</v>
      </c>
      <c r="AJ97" s="9">
        <v>0</v>
      </c>
      <c r="AK97" s="9">
        <v>0</v>
      </c>
      <c r="AL97" s="9">
        <v>0</v>
      </c>
      <c r="AM97" s="9">
        <v>0</v>
      </c>
      <c r="AN97" s="9">
        <v>0</v>
      </c>
      <c r="AO97" s="9">
        <v>0</v>
      </c>
      <c r="AP97" s="9">
        <v>0</v>
      </c>
      <c r="AQ97" s="9">
        <v>0</v>
      </c>
      <c r="AR97" s="9">
        <v>0.65686274509803899</v>
      </c>
      <c r="AS97" s="9">
        <v>0.441176470588235</v>
      </c>
      <c r="AT97" s="9">
        <v>0.87254901960784303</v>
      </c>
      <c r="AU97" s="9">
        <v>3.7647058823529398</v>
      </c>
      <c r="AV97" s="9">
        <v>1.62745098039216</v>
      </c>
      <c r="AW97" s="9">
        <v>2.0882352941176499</v>
      </c>
      <c r="AX97" s="9">
        <f t="shared" si="33"/>
        <v>1704.936264982178</v>
      </c>
      <c r="AY97" s="9">
        <f t="shared" si="34"/>
        <v>476.61923076923028</v>
      </c>
      <c r="AZ97" s="9">
        <f t="shared" si="35"/>
        <v>528.99680383529346</v>
      </c>
      <c r="BA97" s="9">
        <f t="shared" si="36"/>
        <v>878.30839497041381</v>
      </c>
      <c r="BB97" s="9">
        <f t="shared" si="37"/>
        <v>826.627870011764</v>
      </c>
      <c r="BC97" s="20"/>
      <c r="BD97" s="9">
        <v>740</v>
      </c>
      <c r="BF97" s="9">
        <v>768</v>
      </c>
      <c r="BH97" s="9">
        <v>203</v>
      </c>
      <c r="BI97" s="9">
        <f t="shared" si="38"/>
        <v>203</v>
      </c>
      <c r="BJ97" s="9">
        <f t="shared" si="27"/>
        <v>1591.2966856861076</v>
      </c>
      <c r="BK97" s="12">
        <f t="shared" si="29"/>
        <v>203</v>
      </c>
      <c r="BP97" s="9">
        <v>153</v>
      </c>
      <c r="BQ97" s="9">
        <f t="shared" si="39"/>
        <v>153</v>
      </c>
      <c r="BR97" s="12">
        <f t="shared" si="40"/>
        <v>1591.2966856861076</v>
      </c>
      <c r="BS97" s="23">
        <f t="shared" si="30"/>
        <v>153</v>
      </c>
      <c r="BU97" s="9">
        <v>112</v>
      </c>
      <c r="BW97" s="9">
        <v>16</v>
      </c>
      <c r="BX97" s="9">
        <v>117</v>
      </c>
      <c r="BY97" s="9">
        <v>141</v>
      </c>
      <c r="BZ97" s="9">
        <v>116</v>
      </c>
      <c r="CA97" s="9">
        <v>137</v>
      </c>
      <c r="CB97" s="9">
        <v>146</v>
      </c>
      <c r="CC97" s="9">
        <v>134</v>
      </c>
      <c r="CD97" s="9">
        <v>137</v>
      </c>
      <c r="CE97" s="9">
        <v>133</v>
      </c>
      <c r="CF97" s="9">
        <v>151</v>
      </c>
      <c r="CG97" s="9">
        <v>156</v>
      </c>
      <c r="CH97" s="9">
        <v>121</v>
      </c>
      <c r="CI97" s="9">
        <v>120</v>
      </c>
      <c r="CJ97" s="9">
        <v>144</v>
      </c>
      <c r="CK97" s="12">
        <f t="shared" si="31"/>
        <v>1694.5</v>
      </c>
      <c r="CL97" s="9">
        <f t="shared" si="41"/>
        <v>452.5</v>
      </c>
      <c r="CM97" s="9">
        <f t="shared" si="42"/>
        <v>541</v>
      </c>
      <c r="CN97" s="9">
        <f t="shared" si="43"/>
        <v>869.5</v>
      </c>
      <c r="CO97" s="9">
        <f t="shared" si="49"/>
        <v>825</v>
      </c>
      <c r="CQ97" s="9">
        <f t="shared" si="44"/>
        <v>928</v>
      </c>
      <c r="CR97" s="9">
        <f t="shared" si="45"/>
        <v>825</v>
      </c>
    </row>
    <row r="98" spans="1:96" ht="29.25">
      <c r="A98" t="str">
        <f t="shared" si="28"/>
        <v>381</v>
      </c>
      <c r="B98">
        <f t="shared" si="32"/>
        <v>381</v>
      </c>
      <c r="C98" s="15" t="s">
        <v>106</v>
      </c>
      <c r="D98" s="11"/>
      <c r="E98" s="9">
        <f>SUM(101.586908643914*0.5)</f>
        <v>50.793454321957</v>
      </c>
      <c r="F98" s="9">
        <v>98.780701754386001</v>
      </c>
      <c r="G98" s="9">
        <v>106.473684210526</v>
      </c>
      <c r="H98" s="9">
        <v>115.23391812865501</v>
      </c>
      <c r="I98" s="9">
        <v>113.29651162790699</v>
      </c>
      <c r="J98" s="9">
        <v>106.726744186047</v>
      </c>
      <c r="K98" s="9">
        <v>112.29532163742699</v>
      </c>
      <c r="L98" s="9">
        <v>113.982456140351</v>
      </c>
      <c r="M98" s="9">
        <v>93.508771929824604</v>
      </c>
      <c r="N98" s="9">
        <v>100.959770114943</v>
      </c>
      <c r="O98" s="9">
        <v>109.425287356322</v>
      </c>
      <c r="P98" s="9">
        <v>88.339080459770102</v>
      </c>
      <c r="Q98" s="9">
        <v>80.620689655172399</v>
      </c>
      <c r="R98" s="9">
        <v>1.72774181818182</v>
      </c>
      <c r="S98" s="9">
        <v>5.0828163636363604</v>
      </c>
      <c r="T98" s="9">
        <v>3.91857454545455</v>
      </c>
      <c r="U98" s="9">
        <v>0</v>
      </c>
      <c r="V98" s="9">
        <v>3.22570863636364</v>
      </c>
      <c r="W98" s="9">
        <v>6.3373536363636402</v>
      </c>
      <c r="X98" s="9">
        <v>9.2902719356944594</v>
      </c>
      <c r="Y98" s="9">
        <v>0</v>
      </c>
      <c r="Z98" s="9">
        <v>0</v>
      </c>
      <c r="AA98" s="9">
        <v>0</v>
      </c>
      <c r="AB98" s="9">
        <v>0</v>
      </c>
      <c r="AC98" s="9">
        <v>0</v>
      </c>
      <c r="AD98" s="9">
        <v>0</v>
      </c>
      <c r="AE98" s="9">
        <v>0</v>
      </c>
      <c r="AF98" s="9">
        <v>0</v>
      </c>
      <c r="AG98" s="9">
        <v>0</v>
      </c>
      <c r="AH98" s="9">
        <v>0</v>
      </c>
      <c r="AI98" s="9">
        <v>0</v>
      </c>
      <c r="AJ98" s="9">
        <v>0</v>
      </c>
      <c r="AK98" s="9">
        <v>0</v>
      </c>
      <c r="AL98" s="9">
        <v>0</v>
      </c>
      <c r="AM98" s="9">
        <v>0</v>
      </c>
      <c r="AN98" s="9">
        <v>0</v>
      </c>
      <c r="AO98" s="9">
        <v>0</v>
      </c>
      <c r="AP98" s="9">
        <v>0</v>
      </c>
      <c r="AQ98" s="9">
        <v>0</v>
      </c>
      <c r="AR98" s="9">
        <v>1.7843137254902</v>
      </c>
      <c r="AS98" s="9">
        <v>0</v>
      </c>
      <c r="AT98" s="9">
        <v>4.2549019607843102</v>
      </c>
      <c r="AU98" s="9">
        <v>3.9254901960784299</v>
      </c>
      <c r="AV98" s="9">
        <v>2.4980392156862701</v>
      </c>
      <c r="AW98" s="9">
        <v>0</v>
      </c>
      <c r="AX98" s="9">
        <f t="shared" si="33"/>
        <v>1399.1056837348724</v>
      </c>
      <c r="AY98" s="9">
        <f t="shared" si="34"/>
        <v>389.84584633630021</v>
      </c>
      <c r="AZ98" s="9">
        <f t="shared" si="35"/>
        <v>429.32042282553715</v>
      </c>
      <c r="BA98" s="9">
        <f t="shared" si="36"/>
        <v>740.59448156934116</v>
      </c>
      <c r="BB98" s="9">
        <f t="shared" si="37"/>
        <v>658.51120216553181</v>
      </c>
      <c r="BC98" s="20"/>
      <c r="BD98" s="9">
        <v>926</v>
      </c>
      <c r="BF98" s="9">
        <v>900</v>
      </c>
      <c r="BH98" s="9">
        <v>122</v>
      </c>
      <c r="BI98" s="9">
        <f t="shared" si="38"/>
        <v>122</v>
      </c>
      <c r="BJ98" s="9">
        <f t="shared" si="27"/>
        <v>1290.436391523288</v>
      </c>
      <c r="BK98" s="12">
        <f t="shared" si="29"/>
        <v>122</v>
      </c>
      <c r="BP98" s="9">
        <v>474</v>
      </c>
      <c r="BQ98" s="9">
        <f t="shared" si="39"/>
        <v>474</v>
      </c>
      <c r="BR98" s="12">
        <f t="shared" si="40"/>
        <v>1290.436391523288</v>
      </c>
      <c r="BS98" s="23">
        <f t="shared" si="30"/>
        <v>474</v>
      </c>
      <c r="BU98" s="9">
        <v>8</v>
      </c>
      <c r="BW98" s="9">
        <v>4</v>
      </c>
      <c r="BX98" s="9">
        <v>110</v>
      </c>
      <c r="BY98" s="9">
        <v>111</v>
      </c>
      <c r="BZ98" s="9">
        <v>106</v>
      </c>
      <c r="CA98" s="9">
        <v>116</v>
      </c>
      <c r="CB98" s="9">
        <v>120</v>
      </c>
      <c r="CC98" s="9">
        <v>117</v>
      </c>
      <c r="CD98" s="9">
        <v>106</v>
      </c>
      <c r="CE98" s="9">
        <v>123</v>
      </c>
      <c r="CF98" s="9">
        <v>127</v>
      </c>
      <c r="CG98" s="9">
        <v>104</v>
      </c>
      <c r="CH98" s="9">
        <v>104</v>
      </c>
      <c r="CI98" s="9">
        <v>119</v>
      </c>
      <c r="CJ98" s="9">
        <v>96</v>
      </c>
      <c r="CK98" s="12">
        <f t="shared" si="31"/>
        <v>1404</v>
      </c>
      <c r="CL98" s="9">
        <f t="shared" si="41"/>
        <v>388</v>
      </c>
      <c r="CM98" s="9">
        <f t="shared" si="42"/>
        <v>423</v>
      </c>
      <c r="CN98" s="9">
        <f t="shared" si="43"/>
        <v>731</v>
      </c>
      <c r="CO98" s="9">
        <f t="shared" si="49"/>
        <v>673</v>
      </c>
      <c r="CQ98" s="9">
        <f t="shared" si="44"/>
        <v>786</v>
      </c>
      <c r="CR98" s="9">
        <f t="shared" si="45"/>
        <v>673</v>
      </c>
    </row>
    <row r="99" spans="1:96" ht="29.25">
      <c r="A99" t="str">
        <f t="shared" si="28"/>
        <v>382</v>
      </c>
      <c r="B99">
        <f t="shared" si="32"/>
        <v>382</v>
      </c>
      <c r="C99" s="15" t="s">
        <v>107</v>
      </c>
      <c r="D99" s="11"/>
      <c r="E99" s="9">
        <f>SUM(7.82638888888889*0.5)</f>
        <v>3.9131944444444451</v>
      </c>
      <c r="F99" s="9">
        <v>9.8090277777777803</v>
      </c>
      <c r="G99" s="9">
        <v>10.3368055555556</v>
      </c>
      <c r="H99" s="9">
        <v>11.2361111111111</v>
      </c>
      <c r="I99" s="9">
        <v>11.7638888888889</v>
      </c>
      <c r="J99" s="9">
        <v>15.84375</v>
      </c>
      <c r="K99" s="9">
        <v>9.5972222222222197</v>
      </c>
      <c r="L99" s="9">
        <v>17.4965277777778</v>
      </c>
      <c r="M99" s="9">
        <v>14.3784722222222</v>
      </c>
      <c r="N99" s="9">
        <v>17.53125</v>
      </c>
      <c r="O99" s="9">
        <v>13.2361111111111</v>
      </c>
      <c r="P99" s="9">
        <v>15.6805555555556</v>
      </c>
      <c r="Q99" s="9">
        <v>12.2395833333333</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c r="AO99" s="9">
        <v>0</v>
      </c>
      <c r="AP99" s="9">
        <v>0</v>
      </c>
      <c r="AQ99" s="9">
        <v>0</v>
      </c>
      <c r="AR99" s="9">
        <v>0</v>
      </c>
      <c r="AS99" s="9">
        <v>0</v>
      </c>
      <c r="AT99" s="9">
        <v>0</v>
      </c>
      <c r="AU99" s="9">
        <v>0</v>
      </c>
      <c r="AV99" s="9">
        <v>0</v>
      </c>
      <c r="AW99" s="9">
        <v>0</v>
      </c>
      <c r="AX99" s="9">
        <f t="shared" si="33"/>
        <v>171.21562500000007</v>
      </c>
      <c r="AY99" s="9">
        <f t="shared" si="34"/>
        <v>37.059895833333378</v>
      </c>
      <c r="AZ99" s="9">
        <f t="shared" si="35"/>
        <v>61.621875000000003</v>
      </c>
      <c r="BA99" s="9">
        <f t="shared" si="36"/>
        <v>76.125000000000043</v>
      </c>
      <c r="BB99" s="9">
        <f t="shared" si="37"/>
        <v>95.090625000000003</v>
      </c>
      <c r="BC99" s="20"/>
      <c r="BD99" s="9">
        <v>73</v>
      </c>
      <c r="BF99" s="9">
        <v>67</v>
      </c>
      <c r="BH99" s="9">
        <v>11</v>
      </c>
      <c r="BI99" s="9">
        <f t="shared" si="38"/>
        <v>11</v>
      </c>
      <c r="BJ99" s="9">
        <f t="shared" si="27"/>
        <v>163.06250000000006</v>
      </c>
      <c r="BK99" s="12">
        <f t="shared" si="29"/>
        <v>11</v>
      </c>
      <c r="BP99" s="9">
        <v>0</v>
      </c>
      <c r="BQ99" s="9">
        <f t="shared" si="39"/>
        <v>0</v>
      </c>
      <c r="BR99" s="12">
        <f t="shared" si="40"/>
        <v>163.06250000000006</v>
      </c>
      <c r="BS99" s="23">
        <f t="shared" si="30"/>
        <v>0</v>
      </c>
      <c r="BU99" s="9">
        <v>0</v>
      </c>
      <c r="BW99" s="9">
        <v>0</v>
      </c>
      <c r="BX99" s="9">
        <v>6</v>
      </c>
      <c r="BY99" s="9">
        <v>10</v>
      </c>
      <c r="BZ99" s="9">
        <v>11</v>
      </c>
      <c r="CA99" s="9">
        <v>13</v>
      </c>
      <c r="CB99" s="9">
        <v>11</v>
      </c>
      <c r="CC99" s="9">
        <v>13</v>
      </c>
      <c r="CD99" s="9">
        <v>19</v>
      </c>
      <c r="CE99" s="9">
        <v>9</v>
      </c>
      <c r="CF99" s="9">
        <v>19</v>
      </c>
      <c r="CG99" s="9">
        <v>14</v>
      </c>
      <c r="CH99" s="9">
        <v>21</v>
      </c>
      <c r="CI99" s="9">
        <v>14</v>
      </c>
      <c r="CJ99" s="9">
        <v>18</v>
      </c>
      <c r="CK99" s="12">
        <f t="shared" si="31"/>
        <v>175</v>
      </c>
      <c r="CL99" s="9">
        <f t="shared" si="41"/>
        <v>37</v>
      </c>
      <c r="CM99" s="9">
        <f t="shared" si="42"/>
        <v>67</v>
      </c>
      <c r="CN99" s="9">
        <f t="shared" si="43"/>
        <v>80</v>
      </c>
      <c r="CO99" s="9">
        <f t="shared" si="49"/>
        <v>100</v>
      </c>
      <c r="CQ99" s="9">
        <f t="shared" si="44"/>
        <v>83</v>
      </c>
      <c r="CR99" s="9">
        <f t="shared" si="45"/>
        <v>95</v>
      </c>
    </row>
    <row r="100" spans="1:96" ht="29.25">
      <c r="A100" t="str">
        <f t="shared" si="28"/>
        <v>383</v>
      </c>
      <c r="B100">
        <f t="shared" si="32"/>
        <v>383</v>
      </c>
      <c r="C100" s="15" t="s">
        <v>108</v>
      </c>
      <c r="D100" s="11"/>
      <c r="E100" s="9">
        <f>SUM(2.89705882352941*0.5)</f>
        <v>1.448529411764705</v>
      </c>
      <c r="F100" s="9">
        <v>4.3852941176470601</v>
      </c>
      <c r="G100" s="9">
        <v>0</v>
      </c>
      <c r="H100" s="9">
        <v>2.3205882352941201</v>
      </c>
      <c r="I100" s="9">
        <v>4.7647058823529402</v>
      </c>
      <c r="J100" s="9">
        <v>0</v>
      </c>
      <c r="K100" s="9">
        <v>1.9088235294117599</v>
      </c>
      <c r="L100" s="9">
        <v>0</v>
      </c>
      <c r="M100" s="9">
        <v>0</v>
      </c>
      <c r="N100" s="9">
        <v>0</v>
      </c>
      <c r="O100" s="9">
        <v>0</v>
      </c>
      <c r="P100" s="9">
        <v>0</v>
      </c>
      <c r="Q100" s="9">
        <v>0</v>
      </c>
      <c r="R100" s="9">
        <v>0</v>
      </c>
      <c r="S100" s="9">
        <v>0</v>
      </c>
      <c r="T100" s="9">
        <v>0</v>
      </c>
      <c r="U100" s="9">
        <v>0</v>
      </c>
      <c r="V100" s="9">
        <v>0</v>
      </c>
      <c r="W100" s="9">
        <v>0</v>
      </c>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9">
        <v>0</v>
      </c>
      <c r="AO100" s="9">
        <v>0</v>
      </c>
      <c r="AP100" s="9">
        <v>0</v>
      </c>
      <c r="AQ100" s="9">
        <v>0</v>
      </c>
      <c r="AR100" s="9">
        <v>0</v>
      </c>
      <c r="AS100" s="9">
        <v>0</v>
      </c>
      <c r="AT100" s="9">
        <v>0</v>
      </c>
      <c r="AU100" s="9">
        <v>0</v>
      </c>
      <c r="AV100" s="9">
        <v>0</v>
      </c>
      <c r="AW100" s="9">
        <v>0</v>
      </c>
      <c r="AX100" s="9">
        <f t="shared" si="33"/>
        <v>15.569338235294115</v>
      </c>
      <c r="AY100" s="9">
        <f t="shared" si="34"/>
        <v>8.5621323529411786</v>
      </c>
      <c r="AZ100" s="9">
        <f t="shared" si="35"/>
        <v>0</v>
      </c>
      <c r="BA100" s="9">
        <f t="shared" si="36"/>
        <v>15.569338235294115</v>
      </c>
      <c r="BB100" s="9">
        <f t="shared" si="37"/>
        <v>0</v>
      </c>
      <c r="BC100" s="20"/>
      <c r="BD100" s="153">
        <v>7.1</v>
      </c>
      <c r="BF100" s="153">
        <v>6.88</v>
      </c>
      <c r="BH100" s="9" t="e">
        <v>#N/A</v>
      </c>
      <c r="BI100" s="9" t="str">
        <f t="shared" si="38"/>
        <v/>
      </c>
      <c r="BJ100" s="9" t="str">
        <f t="shared" si="27"/>
        <v/>
      </c>
      <c r="BK100" s="12">
        <f t="shared" ref="BK100:BK131" si="50">IFERROR(BH100*1,SUM(E100:Q100)*$BJ$179)</f>
        <v>1.8395985049116899</v>
      </c>
      <c r="BP100" s="9">
        <v>0</v>
      </c>
      <c r="BQ100" s="9">
        <f t="shared" si="39"/>
        <v>0</v>
      </c>
      <c r="BR100" s="12">
        <f t="shared" si="40"/>
        <v>14.827941176470585</v>
      </c>
      <c r="BS100" s="23">
        <f t="shared" ref="BS100:BS131" si="51">IFERROR(BP100*1,SUM(E100:Q100)*$BR$179)</f>
        <v>0</v>
      </c>
      <c r="BU100" s="9">
        <v>0</v>
      </c>
      <c r="BW100" s="9">
        <v>0</v>
      </c>
      <c r="BX100" s="9">
        <v>1</v>
      </c>
      <c r="BY100" s="9">
        <v>5</v>
      </c>
      <c r="BZ100" s="9">
        <v>4</v>
      </c>
      <c r="CA100" s="9">
        <v>0</v>
      </c>
      <c r="CB100" s="9">
        <v>2</v>
      </c>
      <c r="CC100" s="9">
        <v>4</v>
      </c>
      <c r="CD100" s="9">
        <v>0</v>
      </c>
      <c r="CE100" s="9">
        <v>0</v>
      </c>
      <c r="CF100" s="9">
        <v>0</v>
      </c>
      <c r="CG100" s="9">
        <v>0</v>
      </c>
      <c r="CH100" s="9">
        <v>0</v>
      </c>
      <c r="CI100" s="9">
        <v>0</v>
      </c>
      <c r="CJ100" s="9">
        <v>0</v>
      </c>
      <c r="CK100" s="12">
        <f t="shared" ref="CK100:CK131" si="52">SUM(BY100,BZ100,CA100,CB100,CC100,CD100,CE100,CF100,CG100,CH100,CI100,CJ100) + (BX100*0.5)</f>
        <v>15.5</v>
      </c>
      <c r="CL100" s="9">
        <f t="shared" si="41"/>
        <v>9.5</v>
      </c>
      <c r="CM100" s="9">
        <f t="shared" si="42"/>
        <v>0</v>
      </c>
      <c r="CN100" s="9">
        <f t="shared" si="43"/>
        <v>15.5</v>
      </c>
      <c r="CO100" s="207">
        <f t="shared" si="48"/>
        <v>0</v>
      </c>
      <c r="CQ100" s="9">
        <f t="shared" si="44"/>
        <v>16</v>
      </c>
      <c r="CR100" s="9">
        <f t="shared" si="45"/>
        <v>0</v>
      </c>
    </row>
    <row r="101" spans="1:96" ht="29.25">
      <c r="A101" t="str">
        <f t="shared" si="28"/>
        <v>391</v>
      </c>
      <c r="B101">
        <f t="shared" si="32"/>
        <v>391</v>
      </c>
      <c r="C101" s="15" t="s">
        <v>109</v>
      </c>
      <c r="D101" s="11"/>
      <c r="E101" s="9">
        <f>SUM(63.9930141851776*0.5)</f>
        <v>31.9965070925888</v>
      </c>
      <c r="F101" s="9">
        <v>83.795644219890093</v>
      </c>
      <c r="G101" s="9">
        <v>82.040438825793103</v>
      </c>
      <c r="H101" s="9">
        <v>84.927464172201795</v>
      </c>
      <c r="I101" s="9">
        <v>75.319496272815996</v>
      </c>
      <c r="J101" s="9">
        <v>77.190793831634096</v>
      </c>
      <c r="K101" s="9">
        <v>82.393491124260393</v>
      </c>
      <c r="L101" s="9">
        <v>81.2988165680473</v>
      </c>
      <c r="M101" s="9">
        <v>73.269230769230802</v>
      </c>
      <c r="N101" s="9">
        <v>80.047793258666204</v>
      </c>
      <c r="O101" s="9">
        <v>74.840086927864405</v>
      </c>
      <c r="P101" s="9">
        <v>66.226470588235301</v>
      </c>
      <c r="Q101" s="9">
        <v>71.488235294117601</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2.71764705882353</v>
      </c>
      <c r="AS101" s="9">
        <v>0.57254901960784299</v>
      </c>
      <c r="AT101" s="9">
        <v>0</v>
      </c>
      <c r="AU101" s="9">
        <v>0.88627450980392197</v>
      </c>
      <c r="AV101" s="9">
        <v>0.74901960784313704</v>
      </c>
      <c r="AW101" s="9">
        <v>0</v>
      </c>
      <c r="AX101" s="9">
        <f t="shared" si="33"/>
        <v>1018.2479570984956</v>
      </c>
      <c r="AY101" s="9">
        <f t="shared" si="34"/>
        <v>296.8980570259975</v>
      </c>
      <c r="AZ101" s="9">
        <f t="shared" si="35"/>
        <v>308.94977419585712</v>
      </c>
      <c r="BA101" s="9">
        <f t="shared" si="36"/>
        <v>543.54702731614361</v>
      </c>
      <c r="BB101" s="9">
        <f t="shared" si="37"/>
        <v>474.70092978235209</v>
      </c>
      <c r="BC101" s="20"/>
      <c r="BD101" s="9">
        <v>569</v>
      </c>
      <c r="BF101" s="9">
        <v>515</v>
      </c>
      <c r="BH101" s="9">
        <v>209</v>
      </c>
      <c r="BI101" s="9">
        <f t="shared" si="38"/>
        <v>209</v>
      </c>
      <c r="BJ101" s="9">
        <f t="shared" si="27"/>
        <v>964.83446894534586</v>
      </c>
      <c r="BK101" s="12">
        <f t="shared" si="50"/>
        <v>209</v>
      </c>
      <c r="BP101" s="9">
        <v>5</v>
      </c>
      <c r="BQ101" s="9">
        <f t="shared" si="39"/>
        <v>5</v>
      </c>
      <c r="BR101" s="12">
        <f t="shared" si="40"/>
        <v>964.83446894534586</v>
      </c>
      <c r="BS101" s="23">
        <f t="shared" si="51"/>
        <v>5</v>
      </c>
      <c r="BU101" s="9">
        <v>15</v>
      </c>
      <c r="BW101" s="9">
        <v>22</v>
      </c>
      <c r="BX101" s="9">
        <v>88</v>
      </c>
      <c r="BY101" s="9">
        <v>75</v>
      </c>
      <c r="BZ101" s="9">
        <v>87</v>
      </c>
      <c r="CA101" s="9">
        <v>88</v>
      </c>
      <c r="CB101" s="9">
        <v>95</v>
      </c>
      <c r="CC101" s="9">
        <v>85</v>
      </c>
      <c r="CD101" s="9">
        <v>84</v>
      </c>
      <c r="CE101" s="9">
        <v>87</v>
      </c>
      <c r="CF101" s="9">
        <v>93</v>
      </c>
      <c r="CG101" s="9">
        <v>81</v>
      </c>
      <c r="CH101" s="9">
        <v>85</v>
      </c>
      <c r="CI101" s="9">
        <v>71</v>
      </c>
      <c r="CJ101" s="9">
        <v>73</v>
      </c>
      <c r="CK101" s="12">
        <f t="shared" si="52"/>
        <v>1048</v>
      </c>
      <c r="CL101" s="9">
        <f t="shared" si="41"/>
        <v>294</v>
      </c>
      <c r="CM101" s="9">
        <f t="shared" si="42"/>
        <v>310</v>
      </c>
      <c r="CN101" s="9">
        <f t="shared" si="43"/>
        <v>558</v>
      </c>
      <c r="CO101" s="9">
        <f>MAX($D$181,(SUM(CE101:CJ101)))</f>
        <v>490</v>
      </c>
      <c r="CQ101" s="9">
        <f t="shared" si="44"/>
        <v>602</v>
      </c>
      <c r="CR101" s="9">
        <f t="shared" si="45"/>
        <v>490</v>
      </c>
    </row>
    <row r="102" spans="1:96" ht="29.25">
      <c r="A102" t="str">
        <f t="shared" si="28"/>
        <v>392</v>
      </c>
      <c r="B102">
        <f t="shared" si="32"/>
        <v>392</v>
      </c>
      <c r="C102" s="15" t="s">
        <v>110</v>
      </c>
      <c r="D102" s="11"/>
      <c r="E102" s="9">
        <f>SUM(7.27840909090909*0.5)</f>
        <v>3.639204545454545</v>
      </c>
      <c r="F102" s="9">
        <v>8.3068181818181799</v>
      </c>
      <c r="G102" s="9">
        <v>8.1051136363636402</v>
      </c>
      <c r="H102" s="9">
        <v>3.6420454545454501</v>
      </c>
      <c r="I102" s="9">
        <v>8.8579545454545503</v>
      </c>
      <c r="J102" s="9">
        <v>6.5568181818181799</v>
      </c>
      <c r="K102" s="9">
        <v>13.34375</v>
      </c>
      <c r="L102" s="9">
        <v>10.3522727272727</v>
      </c>
      <c r="M102" s="9">
        <v>4.3181818181818201</v>
      </c>
      <c r="N102" s="9">
        <v>6.9318181818181799</v>
      </c>
      <c r="O102" s="9">
        <v>8.8948863636363598</v>
      </c>
      <c r="P102" s="9">
        <v>5.5738636363636402</v>
      </c>
      <c r="Q102" s="9">
        <v>6.5</v>
      </c>
      <c r="R102" s="9">
        <v>0</v>
      </c>
      <c r="S102" s="9">
        <v>0</v>
      </c>
      <c r="T102" s="9">
        <v>0</v>
      </c>
      <c r="U102" s="9">
        <v>0</v>
      </c>
      <c r="V102" s="9">
        <v>0</v>
      </c>
      <c r="W102" s="9">
        <v>0</v>
      </c>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9">
        <v>0</v>
      </c>
      <c r="AO102" s="9">
        <v>0</v>
      </c>
      <c r="AP102" s="9">
        <v>0</v>
      </c>
      <c r="AQ102" s="9">
        <v>0</v>
      </c>
      <c r="AR102" s="9">
        <v>0</v>
      </c>
      <c r="AS102" s="9">
        <v>0</v>
      </c>
      <c r="AT102" s="9">
        <v>0</v>
      </c>
      <c r="AU102" s="9">
        <v>0</v>
      </c>
      <c r="AV102" s="9">
        <v>0</v>
      </c>
      <c r="AW102" s="9">
        <v>0</v>
      </c>
      <c r="AX102" s="9">
        <f t="shared" si="33"/>
        <v>99.773863636363615</v>
      </c>
      <c r="AY102" s="9">
        <f t="shared" si="34"/>
        <v>24.87784090909091</v>
      </c>
      <c r="AZ102" s="9">
        <f t="shared" si="35"/>
        <v>29.295596590909089</v>
      </c>
      <c r="BA102" s="9">
        <f t="shared" si="36"/>
        <v>55.074289772727276</v>
      </c>
      <c r="BB102" s="9">
        <f t="shared" si="37"/>
        <v>44.699573863636338</v>
      </c>
      <c r="BC102" s="20"/>
      <c r="BD102" s="9">
        <v>81.599999999999994</v>
      </c>
      <c r="BF102" s="153">
        <v>41.28</v>
      </c>
      <c r="BH102" s="9">
        <v>19</v>
      </c>
      <c r="BI102" s="9">
        <f t="shared" si="38"/>
        <v>19</v>
      </c>
      <c r="BJ102" s="9">
        <f t="shared" si="27"/>
        <v>95.022727272727252</v>
      </c>
      <c r="BK102" s="12">
        <f t="shared" si="50"/>
        <v>19</v>
      </c>
      <c r="BP102" s="9">
        <v>0</v>
      </c>
      <c r="BQ102" s="9">
        <f t="shared" si="39"/>
        <v>0</v>
      </c>
      <c r="BR102" s="12">
        <f t="shared" si="40"/>
        <v>95.022727272727252</v>
      </c>
      <c r="BS102" s="23">
        <f t="shared" si="51"/>
        <v>0</v>
      </c>
      <c r="BU102" s="9">
        <v>0</v>
      </c>
      <c r="BW102" s="9">
        <v>3</v>
      </c>
      <c r="BX102" s="9">
        <v>6</v>
      </c>
      <c r="BY102" s="9">
        <v>11</v>
      </c>
      <c r="BZ102" s="9">
        <v>5</v>
      </c>
      <c r="CA102" s="9">
        <v>8</v>
      </c>
      <c r="CB102" s="9">
        <v>3</v>
      </c>
      <c r="CC102" s="9">
        <v>10</v>
      </c>
      <c r="CD102" s="9">
        <v>6</v>
      </c>
      <c r="CE102" s="9">
        <v>14</v>
      </c>
      <c r="CF102" s="9">
        <v>8</v>
      </c>
      <c r="CG102" s="9">
        <v>4</v>
      </c>
      <c r="CH102" s="9">
        <v>7</v>
      </c>
      <c r="CI102" s="9">
        <v>9</v>
      </c>
      <c r="CJ102" s="9">
        <v>5</v>
      </c>
      <c r="CK102" s="12">
        <f>SUM(BY102,BZ102,CA102,CB102,CC102,CD102,CE102,CF102,CG102,CH102,CI102,CJ102) + (BX102*0.5)</f>
        <v>93</v>
      </c>
      <c r="CL102" s="9">
        <f t="shared" si="41"/>
        <v>27</v>
      </c>
      <c r="CM102" s="9">
        <f t="shared" si="42"/>
        <v>25</v>
      </c>
      <c r="CN102" s="9">
        <f t="shared" si="43"/>
        <v>46</v>
      </c>
      <c r="CO102" s="9">
        <f>MAX($D$181,(SUM(CE102:CJ102)))</f>
        <v>100</v>
      </c>
      <c r="CQ102" s="9">
        <f t="shared" si="44"/>
        <v>49</v>
      </c>
      <c r="CR102" s="9">
        <f t="shared" si="45"/>
        <v>47</v>
      </c>
    </row>
    <row r="103" spans="1:96" ht="29.25">
      <c r="A103" t="str">
        <f t="shared" si="28"/>
        <v>393</v>
      </c>
      <c r="B103">
        <f t="shared" si="32"/>
        <v>393</v>
      </c>
      <c r="C103" s="15" t="s">
        <v>111</v>
      </c>
      <c r="D103" s="11"/>
      <c r="E103" s="9">
        <f>SUM(30.2068965517241*0.5)</f>
        <v>15.10344827586205</v>
      </c>
      <c r="F103" s="9">
        <v>33.474137931034498</v>
      </c>
      <c r="G103" s="9">
        <v>26.275862068965498</v>
      </c>
      <c r="H103" s="9">
        <v>41.612068965517203</v>
      </c>
      <c r="I103" s="9">
        <v>39.574712643678197</v>
      </c>
      <c r="J103" s="9">
        <v>34.635057471264403</v>
      </c>
      <c r="K103" s="9">
        <v>26.336206896551701</v>
      </c>
      <c r="L103" s="9">
        <v>40.494444444444397</v>
      </c>
      <c r="M103" s="9">
        <v>35.605555555555597</v>
      </c>
      <c r="N103" s="9">
        <v>35.7222222222222</v>
      </c>
      <c r="O103" s="9">
        <v>24.6388888888889</v>
      </c>
      <c r="P103" s="9">
        <v>39.049999999999997</v>
      </c>
      <c r="Q103" s="9">
        <v>37.619444444444397</v>
      </c>
      <c r="R103" s="9">
        <v>0</v>
      </c>
      <c r="S103" s="9">
        <v>0</v>
      </c>
      <c r="T103" s="9">
        <v>0</v>
      </c>
      <c r="U103" s="9">
        <v>0</v>
      </c>
      <c r="V103" s="9">
        <v>0</v>
      </c>
      <c r="W103" s="9">
        <v>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9">
        <v>0</v>
      </c>
      <c r="AS103" s="9">
        <v>0</v>
      </c>
      <c r="AT103" s="9">
        <v>0</v>
      </c>
      <c r="AU103" s="9">
        <v>0</v>
      </c>
      <c r="AV103" s="9">
        <v>0</v>
      </c>
      <c r="AW103" s="9">
        <v>0</v>
      </c>
      <c r="AX103" s="9">
        <f t="shared" si="33"/>
        <v>451.64915229885059</v>
      </c>
      <c r="AY103" s="9">
        <f t="shared" si="34"/>
        <v>122.28879310344821</v>
      </c>
      <c r="AZ103" s="9">
        <f t="shared" si="35"/>
        <v>143.8820833333333</v>
      </c>
      <c r="BA103" s="9">
        <f t="shared" si="36"/>
        <v>227.86206896551724</v>
      </c>
      <c r="BB103" s="9">
        <f t="shared" si="37"/>
        <v>223.78708333333333</v>
      </c>
      <c r="BC103" s="20"/>
      <c r="BD103" s="9">
        <v>251</v>
      </c>
      <c r="BF103" s="9">
        <v>272</v>
      </c>
      <c r="BH103" s="9">
        <v>83</v>
      </c>
      <c r="BI103" s="9">
        <f t="shared" si="38"/>
        <v>83</v>
      </c>
      <c r="BJ103" s="9">
        <f t="shared" si="27"/>
        <v>430.14204980842914</v>
      </c>
      <c r="BK103" s="12">
        <f t="shared" si="50"/>
        <v>83</v>
      </c>
      <c r="BP103" s="9" t="s">
        <v>240</v>
      </c>
      <c r="BQ103" s="9" t="str">
        <f t="shared" si="39"/>
        <v/>
      </c>
      <c r="BR103" s="12" t="str">
        <f t="shared" si="40"/>
        <v/>
      </c>
      <c r="BS103" s="23">
        <f t="shared" si="51"/>
        <v>38.633598745560413</v>
      </c>
      <c r="BU103" s="9">
        <v>17</v>
      </c>
      <c r="BW103" s="9">
        <v>9</v>
      </c>
      <c r="BX103" s="9">
        <v>43</v>
      </c>
      <c r="BY103" s="9">
        <v>30</v>
      </c>
      <c r="BZ103" s="9">
        <v>36</v>
      </c>
      <c r="CA103" s="9">
        <v>33</v>
      </c>
      <c r="CB103" s="9">
        <v>40</v>
      </c>
      <c r="CC103" s="9">
        <v>40</v>
      </c>
      <c r="CD103" s="9">
        <v>39</v>
      </c>
      <c r="CE103" s="9">
        <v>32</v>
      </c>
      <c r="CF103" s="9">
        <v>43</v>
      </c>
      <c r="CG103" s="9">
        <v>38</v>
      </c>
      <c r="CH103" s="9">
        <v>37</v>
      </c>
      <c r="CI103" s="9">
        <v>29</v>
      </c>
      <c r="CJ103" s="9">
        <v>41</v>
      </c>
      <c r="CK103" s="12">
        <f t="shared" si="52"/>
        <v>459.5</v>
      </c>
      <c r="CL103" s="9">
        <f t="shared" si="41"/>
        <v>120.5</v>
      </c>
      <c r="CM103" s="9">
        <f t="shared" si="42"/>
        <v>145</v>
      </c>
      <c r="CN103" s="9">
        <f t="shared" si="43"/>
        <v>239.5</v>
      </c>
      <c r="CO103" s="9">
        <f>MAX($D$181,(SUM(CE103:CJ103)))</f>
        <v>220</v>
      </c>
      <c r="CQ103" s="9">
        <f t="shared" si="44"/>
        <v>261</v>
      </c>
      <c r="CR103" s="9">
        <f t="shared" si="45"/>
        <v>220</v>
      </c>
    </row>
    <row r="104" spans="1:96" ht="29.25">
      <c r="A104" t="str">
        <f t="shared" si="28"/>
        <v>394</v>
      </c>
      <c r="B104">
        <f t="shared" si="32"/>
        <v>394</v>
      </c>
      <c r="C104" s="15" t="s">
        <v>112</v>
      </c>
      <c r="D104" s="11"/>
      <c r="E104" s="9">
        <f>SUM(0.985294117647059*0.5)</f>
        <v>0.49264705882352949</v>
      </c>
      <c r="F104" s="9">
        <v>1.95220588235294</v>
      </c>
      <c r="G104" s="9">
        <v>1.9448529411764699</v>
      </c>
      <c r="H104" s="9">
        <v>1.9595588235294099</v>
      </c>
      <c r="I104" s="9">
        <v>4.8933823529411802</v>
      </c>
      <c r="J104" s="9">
        <v>0.95588235294117696</v>
      </c>
      <c r="K104" s="9">
        <v>1.9779411764705901</v>
      </c>
      <c r="L104" s="9">
        <v>0</v>
      </c>
      <c r="M104" s="9">
        <v>0.97794117647058798</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9">
        <v>0</v>
      </c>
      <c r="AS104" s="9">
        <v>0</v>
      </c>
      <c r="AT104" s="9">
        <v>0</v>
      </c>
      <c r="AU104" s="9">
        <v>0</v>
      </c>
      <c r="AV104" s="9">
        <v>0</v>
      </c>
      <c r="AW104" s="9">
        <v>0</v>
      </c>
      <c r="AX104" s="9">
        <f t="shared" si="33"/>
        <v>15.91213235294118</v>
      </c>
      <c r="AY104" s="9">
        <f t="shared" si="34"/>
        <v>6.6667279411764673</v>
      </c>
      <c r="AZ104" s="9">
        <f t="shared" si="35"/>
        <v>0</v>
      </c>
      <c r="BA104" s="9">
        <f t="shared" si="36"/>
        <v>14.885294117647062</v>
      </c>
      <c r="BB104" s="9">
        <f t="shared" si="37"/>
        <v>1.0268382352941174</v>
      </c>
      <c r="BC104" s="20"/>
      <c r="BD104" s="9">
        <v>7.98</v>
      </c>
      <c r="BF104" s="153">
        <v>7.74</v>
      </c>
      <c r="BH104" s="9" t="e">
        <v>#N/A</v>
      </c>
      <c r="BI104" s="9" t="str">
        <f t="shared" si="38"/>
        <v/>
      </c>
      <c r="BJ104" s="9" t="str">
        <f t="shared" si="27"/>
        <v/>
      </c>
      <c r="BK104" s="12">
        <f t="shared" si="50"/>
        <v>1.8801014175458666</v>
      </c>
      <c r="BP104" s="9">
        <v>0</v>
      </c>
      <c r="BQ104" s="9">
        <f t="shared" si="39"/>
        <v>0</v>
      </c>
      <c r="BR104" s="12">
        <f t="shared" si="40"/>
        <v>15.154411764705886</v>
      </c>
      <c r="BS104" s="23">
        <f t="shared" si="51"/>
        <v>0</v>
      </c>
      <c r="BU104" s="9">
        <v>0</v>
      </c>
      <c r="BW104" s="9">
        <v>0</v>
      </c>
      <c r="BX104" s="9">
        <v>2</v>
      </c>
      <c r="BY104" s="9">
        <v>2</v>
      </c>
      <c r="BZ104" s="9">
        <v>1</v>
      </c>
      <c r="CA104" s="9">
        <v>4</v>
      </c>
      <c r="CB104" s="9">
        <v>1</v>
      </c>
      <c r="CC104" s="9">
        <v>4</v>
      </c>
      <c r="CD104" s="9">
        <v>2</v>
      </c>
      <c r="CE104" s="9">
        <v>2</v>
      </c>
      <c r="CF104" s="9">
        <v>0</v>
      </c>
      <c r="CG104" s="9">
        <v>0</v>
      </c>
      <c r="CH104" s="9">
        <v>0</v>
      </c>
      <c r="CI104" s="9">
        <v>0</v>
      </c>
      <c r="CJ104" s="9">
        <v>0</v>
      </c>
      <c r="CK104" s="12">
        <f t="shared" si="52"/>
        <v>17</v>
      </c>
      <c r="CL104" s="9">
        <f t="shared" si="41"/>
        <v>8</v>
      </c>
      <c r="CM104" s="9">
        <f t="shared" si="42"/>
        <v>0</v>
      </c>
      <c r="CN104" s="9">
        <f t="shared" si="43"/>
        <v>15</v>
      </c>
      <c r="CO104" s="207">
        <f t="shared" si="48"/>
        <v>2</v>
      </c>
      <c r="CQ104" s="9">
        <f t="shared" si="44"/>
        <v>16</v>
      </c>
      <c r="CR104" s="9">
        <f t="shared" si="45"/>
        <v>2</v>
      </c>
    </row>
    <row r="105" spans="1:96" ht="29.25">
      <c r="A105" t="str">
        <f t="shared" si="28"/>
        <v>401</v>
      </c>
      <c r="B105">
        <f t="shared" si="32"/>
        <v>401</v>
      </c>
      <c r="C105" s="15" t="s">
        <v>113</v>
      </c>
      <c r="D105" s="11"/>
      <c r="E105" s="9">
        <f>SUM(124.331288343558*0.5)</f>
        <v>62.165644171779</v>
      </c>
      <c r="F105" s="9">
        <v>126.97239263803699</v>
      </c>
      <c r="G105" s="9">
        <v>130.92638036809799</v>
      </c>
      <c r="H105" s="9">
        <v>147.01226993865001</v>
      </c>
      <c r="I105" s="9">
        <v>126.822085889571</v>
      </c>
      <c r="J105" s="9">
        <v>153.73006134969299</v>
      </c>
      <c r="K105" s="9">
        <v>128.97256097561001</v>
      </c>
      <c r="L105" s="9">
        <v>132.131097560976</v>
      </c>
      <c r="M105" s="9">
        <v>114.798780487805</v>
      </c>
      <c r="N105" s="9">
        <v>123.342424242424</v>
      </c>
      <c r="O105" s="9">
        <v>131.690909090909</v>
      </c>
      <c r="P105" s="9">
        <v>88.906060606060606</v>
      </c>
      <c r="Q105" s="9">
        <v>91.245454545454606</v>
      </c>
      <c r="R105" s="9">
        <v>0</v>
      </c>
      <c r="S105" s="9">
        <v>0</v>
      </c>
      <c r="T105" s="9">
        <v>0</v>
      </c>
      <c r="U105" s="9">
        <v>0.74744680851063805</v>
      </c>
      <c r="V105" s="9">
        <v>0</v>
      </c>
      <c r="W105" s="9">
        <v>5.2713698795180699</v>
      </c>
      <c r="X105" s="9">
        <v>10.542270843373499</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9">
        <v>0</v>
      </c>
      <c r="AO105" s="9">
        <v>0</v>
      </c>
      <c r="AP105" s="9">
        <v>0</v>
      </c>
      <c r="AQ105" s="9">
        <v>0</v>
      </c>
      <c r="AR105" s="9">
        <v>0</v>
      </c>
      <c r="AS105" s="9">
        <v>0</v>
      </c>
      <c r="AT105" s="9">
        <v>0</v>
      </c>
      <c r="AU105" s="9">
        <v>0</v>
      </c>
      <c r="AV105" s="9">
        <v>0</v>
      </c>
      <c r="AW105" s="9">
        <v>0</v>
      </c>
      <c r="AX105" s="9">
        <f t="shared" si="33"/>
        <v>1654.0410698662929</v>
      </c>
      <c r="AY105" s="9">
        <f t="shared" si="34"/>
        <v>490.43052147239223</v>
      </c>
      <c r="AZ105" s="9">
        <f t="shared" si="35"/>
        <v>474.33323281706294</v>
      </c>
      <c r="BA105" s="9">
        <f t="shared" si="36"/>
        <v>920.43146509800988</v>
      </c>
      <c r="BB105" s="9">
        <f t="shared" si="37"/>
        <v>733.60960476828291</v>
      </c>
      <c r="BC105" s="20"/>
      <c r="BD105" s="9">
        <v>665</v>
      </c>
      <c r="BF105" s="9">
        <v>738</v>
      </c>
      <c r="BH105" s="9">
        <v>212</v>
      </c>
      <c r="BI105" s="9">
        <f t="shared" si="38"/>
        <v>212</v>
      </c>
      <c r="BJ105" s="9">
        <f t="shared" si="27"/>
        <v>1558.7161218650672</v>
      </c>
      <c r="BK105" s="12">
        <f t="shared" si="50"/>
        <v>212</v>
      </c>
      <c r="BP105" s="9">
        <v>317</v>
      </c>
      <c r="BQ105" s="9">
        <f t="shared" si="39"/>
        <v>317</v>
      </c>
      <c r="BR105" s="12">
        <f t="shared" si="40"/>
        <v>1558.7161218650672</v>
      </c>
      <c r="BS105" s="23">
        <f t="shared" si="51"/>
        <v>317</v>
      </c>
      <c r="BU105" s="9">
        <v>11</v>
      </c>
      <c r="BW105" s="9">
        <v>18</v>
      </c>
      <c r="BX105" s="9">
        <v>136</v>
      </c>
      <c r="BY105" s="9">
        <v>130</v>
      </c>
      <c r="BZ105" s="9">
        <v>133</v>
      </c>
      <c r="CA105" s="9">
        <v>145</v>
      </c>
      <c r="CB105" s="9">
        <v>155</v>
      </c>
      <c r="CC105" s="9">
        <v>138</v>
      </c>
      <c r="CD105" s="9">
        <v>170</v>
      </c>
      <c r="CE105" s="9">
        <v>148</v>
      </c>
      <c r="CF105" s="9">
        <v>143</v>
      </c>
      <c r="CG105" s="9">
        <v>128</v>
      </c>
      <c r="CH105" s="9">
        <v>137</v>
      </c>
      <c r="CI105" s="9">
        <v>143</v>
      </c>
      <c r="CJ105" s="9">
        <v>109</v>
      </c>
      <c r="CK105" s="12">
        <f t="shared" si="52"/>
        <v>1747</v>
      </c>
      <c r="CL105" s="9">
        <f t="shared" si="41"/>
        <v>476</v>
      </c>
      <c r="CM105" s="9">
        <f t="shared" si="42"/>
        <v>517</v>
      </c>
      <c r="CN105" s="9">
        <f t="shared" si="43"/>
        <v>939</v>
      </c>
      <c r="CO105" s="9">
        <f t="shared" ref="CO105:CO110" si="53">MAX($D$181,(SUM(CE105:CJ105)))</f>
        <v>808</v>
      </c>
      <c r="CQ105" s="9">
        <f t="shared" si="44"/>
        <v>1007</v>
      </c>
      <c r="CR105" s="9">
        <f t="shared" si="45"/>
        <v>808</v>
      </c>
    </row>
    <row r="106" spans="1:96" ht="29.25">
      <c r="A106" t="str">
        <f t="shared" si="28"/>
        <v>411</v>
      </c>
      <c r="B106">
        <f t="shared" si="32"/>
        <v>411</v>
      </c>
      <c r="C106" s="15" t="s">
        <v>114</v>
      </c>
      <c r="D106" s="11"/>
      <c r="E106" s="9">
        <f>SUM(663.436755364768*0.5)</f>
        <v>331.71837768238402</v>
      </c>
      <c r="F106" s="9">
        <v>741.20882352941203</v>
      </c>
      <c r="G106" s="9">
        <v>722.15294117647102</v>
      </c>
      <c r="H106" s="9">
        <v>739.85294117647095</v>
      </c>
      <c r="I106" s="9">
        <v>743.89411764705903</v>
      </c>
      <c r="J106" s="9">
        <v>748.27058823529399</v>
      </c>
      <c r="K106" s="9">
        <v>700.50882352941198</v>
      </c>
      <c r="L106" s="9">
        <v>642.02058823529399</v>
      </c>
      <c r="M106" s="9">
        <v>659.081189856724</v>
      </c>
      <c r="N106" s="9">
        <v>608.04194588042901</v>
      </c>
      <c r="O106" s="9">
        <v>614.73687642411301</v>
      </c>
      <c r="P106" s="9">
        <v>540.67109715141305</v>
      </c>
      <c r="Q106" s="9">
        <v>500.73092824280297</v>
      </c>
      <c r="R106" s="9">
        <v>0</v>
      </c>
      <c r="S106" s="9">
        <v>18.378497647058801</v>
      </c>
      <c r="T106" s="9">
        <v>25.061244941176501</v>
      </c>
      <c r="U106" s="9">
        <v>2.6613898117386499</v>
      </c>
      <c r="V106" s="9">
        <v>22.526957644654701</v>
      </c>
      <c r="W106" s="9">
        <v>38.955988875291297</v>
      </c>
      <c r="X106" s="9">
        <v>92.988749017139597</v>
      </c>
      <c r="Y106" s="9">
        <v>0.15</v>
      </c>
      <c r="Z106" s="9">
        <v>0.1</v>
      </c>
      <c r="AA106" s="9">
        <v>0.26785714285714302</v>
      </c>
      <c r="AB106" s="9">
        <v>0.48936170212766</v>
      </c>
      <c r="AC106" s="9">
        <v>1.1294964028776999</v>
      </c>
      <c r="AD106" s="9">
        <v>2.3634172512142602</v>
      </c>
      <c r="AE106" s="9">
        <v>2.8018018018017998</v>
      </c>
      <c r="AF106" s="9">
        <v>1.78488372093023</v>
      </c>
      <c r="AG106" s="9">
        <v>1.46616541353383</v>
      </c>
      <c r="AH106" s="9">
        <v>0</v>
      </c>
      <c r="AI106" s="9">
        <v>1.7857142857142901E-2</v>
      </c>
      <c r="AJ106" s="9">
        <v>8.9285714285714302E-2</v>
      </c>
      <c r="AK106" s="9">
        <v>0.9375</v>
      </c>
      <c r="AL106" s="9">
        <v>2.5089285714285698</v>
      </c>
      <c r="AM106" s="9">
        <v>1.9910714285714299</v>
      </c>
      <c r="AN106" s="9">
        <v>2.96428571428571</v>
      </c>
      <c r="AO106" s="9">
        <v>2.5535714285714302</v>
      </c>
      <c r="AP106" s="9">
        <v>1.9285714285714299</v>
      </c>
      <c r="AQ106" s="9">
        <v>12.8813725490196</v>
      </c>
      <c r="AR106" s="9">
        <v>20.8313254901961</v>
      </c>
      <c r="AS106" s="9">
        <v>20.8882117647059</v>
      </c>
      <c r="AT106" s="9">
        <v>37.797592156862699</v>
      </c>
      <c r="AU106" s="9">
        <v>27.649937254901999</v>
      </c>
      <c r="AV106" s="9">
        <v>28.3891568627451</v>
      </c>
      <c r="AW106" s="9">
        <v>6.2367725490196104</v>
      </c>
      <c r="AX106" s="9">
        <f t="shared" si="33"/>
        <v>9105.2645147054936</v>
      </c>
      <c r="AY106" s="9">
        <f t="shared" si="34"/>
        <v>2661.6797377429748</v>
      </c>
      <c r="AZ106" s="9">
        <f t="shared" si="35"/>
        <v>2666.2032180615215</v>
      </c>
      <c r="BA106" s="9">
        <f t="shared" si="36"/>
        <v>4978.1686348017984</v>
      </c>
      <c r="BB106" s="9">
        <f t="shared" si="37"/>
        <v>4127.0958799036898</v>
      </c>
      <c r="BC106" s="20"/>
      <c r="BD106" s="9">
        <v>5285.8</v>
      </c>
      <c r="BF106" s="9">
        <v>6333</v>
      </c>
      <c r="BH106" s="9">
        <v>981</v>
      </c>
      <c r="BI106" s="9">
        <f t="shared" si="38"/>
        <v>981</v>
      </c>
      <c r="BJ106" s="9">
        <f t="shared" si="27"/>
        <v>8292.8892387672768</v>
      </c>
      <c r="BK106" s="12">
        <f t="shared" si="50"/>
        <v>981</v>
      </c>
      <c r="BP106" s="9">
        <v>1026</v>
      </c>
      <c r="BQ106" s="9">
        <f t="shared" si="39"/>
        <v>1026</v>
      </c>
      <c r="BR106" s="12">
        <f t="shared" si="40"/>
        <v>8292.8892387672768</v>
      </c>
      <c r="BS106" s="23">
        <f t="shared" si="51"/>
        <v>1026</v>
      </c>
      <c r="BU106" s="9">
        <v>183</v>
      </c>
      <c r="BW106" s="9">
        <v>89</v>
      </c>
      <c r="BX106" s="9">
        <v>734</v>
      </c>
      <c r="BY106" s="9">
        <v>762</v>
      </c>
      <c r="BZ106" s="9">
        <v>793</v>
      </c>
      <c r="CA106" s="9">
        <v>768</v>
      </c>
      <c r="CB106" s="9">
        <v>761</v>
      </c>
      <c r="CC106" s="9">
        <v>782</v>
      </c>
      <c r="CD106" s="9">
        <v>783</v>
      </c>
      <c r="CE106" s="9">
        <v>763</v>
      </c>
      <c r="CF106" s="9">
        <v>683</v>
      </c>
      <c r="CG106" s="9">
        <v>745</v>
      </c>
      <c r="CH106" s="9">
        <v>609</v>
      </c>
      <c r="CI106" s="9">
        <v>596</v>
      </c>
      <c r="CJ106" s="9">
        <v>611</v>
      </c>
      <c r="CK106" s="12">
        <f t="shared" si="52"/>
        <v>9023</v>
      </c>
      <c r="CL106" s="9">
        <f t="shared" si="41"/>
        <v>2690</v>
      </c>
      <c r="CM106" s="9">
        <f t="shared" si="42"/>
        <v>2561</v>
      </c>
      <c r="CN106" s="9">
        <f t="shared" si="43"/>
        <v>5016</v>
      </c>
      <c r="CO106" s="9">
        <f t="shared" si="53"/>
        <v>4007</v>
      </c>
      <c r="CQ106" s="9">
        <f t="shared" si="44"/>
        <v>5383</v>
      </c>
      <c r="CR106" s="9">
        <f t="shared" si="45"/>
        <v>4007</v>
      </c>
    </row>
    <row r="107" spans="1:96" ht="29.25">
      <c r="A107" t="str">
        <f t="shared" si="28"/>
        <v>412</v>
      </c>
      <c r="B107">
        <f t="shared" si="32"/>
        <v>412</v>
      </c>
      <c r="C107" s="15" t="s">
        <v>115</v>
      </c>
      <c r="D107" s="11"/>
      <c r="E107" s="9">
        <f>SUM(95.1941176470588*0.5)</f>
        <v>47.597058823529402</v>
      </c>
      <c r="F107" s="9">
        <v>96.336257309941502</v>
      </c>
      <c r="G107" s="9">
        <v>93.029239766081901</v>
      </c>
      <c r="H107" s="9">
        <v>111.53216374269</v>
      </c>
      <c r="I107" s="9">
        <v>81.526315789473699</v>
      </c>
      <c r="J107" s="9">
        <v>106.830409356725</v>
      </c>
      <c r="K107" s="9">
        <v>113.37134502924</v>
      </c>
      <c r="L107" s="9">
        <v>101.17836257309899</v>
      </c>
      <c r="M107" s="9">
        <v>90.988304093567294</v>
      </c>
      <c r="N107" s="9">
        <v>89.529239766081901</v>
      </c>
      <c r="O107" s="9">
        <v>78.210526315789494</v>
      </c>
      <c r="P107" s="9">
        <v>72</v>
      </c>
      <c r="Q107" s="9">
        <v>72.081871345029199</v>
      </c>
      <c r="R107" s="9">
        <v>0</v>
      </c>
      <c r="S107" s="9">
        <v>0</v>
      </c>
      <c r="T107" s="9">
        <v>0</v>
      </c>
      <c r="U107" s="9">
        <v>0.66482758620689697</v>
      </c>
      <c r="V107" s="9">
        <v>3.1330879999999999</v>
      </c>
      <c r="W107" s="9">
        <v>6.4362404848484802</v>
      </c>
      <c r="X107" s="9">
        <v>8.1016518787878802</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9">
        <v>0</v>
      </c>
      <c r="AO107" s="9">
        <v>0</v>
      </c>
      <c r="AP107" s="9">
        <v>0</v>
      </c>
      <c r="AQ107" s="9">
        <v>3.9509803921568598</v>
      </c>
      <c r="AR107" s="9">
        <v>8.7686274509803894</v>
      </c>
      <c r="AS107" s="9">
        <v>5.7607843137254902</v>
      </c>
      <c r="AT107" s="9">
        <v>1.1607843137254901</v>
      </c>
      <c r="AU107" s="9">
        <v>0.73725490196078403</v>
      </c>
      <c r="AV107" s="9">
        <v>0.94117647058823495</v>
      </c>
      <c r="AW107" s="9">
        <v>0.47058823529411797</v>
      </c>
      <c r="AX107" s="9">
        <f t="shared" si="33"/>
        <v>1254.0539528364993</v>
      </c>
      <c r="AY107" s="9">
        <f t="shared" si="34"/>
        <v>365.91945562435495</v>
      </c>
      <c r="AZ107" s="9">
        <f t="shared" si="35"/>
        <v>350.14061176322809</v>
      </c>
      <c r="BA107" s="9">
        <f t="shared" si="36"/>
        <v>686.88245872033031</v>
      </c>
      <c r="BB107" s="9">
        <f t="shared" si="37"/>
        <v>567.1714941161689</v>
      </c>
      <c r="BC107" s="20"/>
      <c r="BD107" s="9">
        <v>800.8</v>
      </c>
      <c r="BF107" s="9">
        <v>1098</v>
      </c>
      <c r="BH107" s="9">
        <v>149</v>
      </c>
      <c r="BI107" s="9">
        <f t="shared" si="38"/>
        <v>149</v>
      </c>
      <c r="BJ107" s="9">
        <f t="shared" si="27"/>
        <v>1154.2110939112483</v>
      </c>
      <c r="BK107" s="12">
        <f t="shared" si="50"/>
        <v>149</v>
      </c>
      <c r="BP107" s="9">
        <v>225</v>
      </c>
      <c r="BQ107" s="9">
        <f t="shared" si="39"/>
        <v>225</v>
      </c>
      <c r="BR107" s="12">
        <f t="shared" si="40"/>
        <v>1154.2110939112483</v>
      </c>
      <c r="BS107" s="23">
        <f t="shared" si="51"/>
        <v>225</v>
      </c>
      <c r="BU107" s="9">
        <v>28</v>
      </c>
      <c r="BW107" s="9">
        <v>6</v>
      </c>
      <c r="BX107" s="9">
        <v>91</v>
      </c>
      <c r="BY107" s="9">
        <v>103</v>
      </c>
      <c r="BZ107" s="9">
        <v>98</v>
      </c>
      <c r="CA107" s="9">
        <v>101</v>
      </c>
      <c r="CB107" s="9">
        <v>114</v>
      </c>
      <c r="CC107" s="9">
        <v>83</v>
      </c>
      <c r="CD107" s="9">
        <v>109</v>
      </c>
      <c r="CE107" s="9">
        <v>112</v>
      </c>
      <c r="CF107" s="9">
        <v>103</v>
      </c>
      <c r="CG107" s="9">
        <v>90</v>
      </c>
      <c r="CH107" s="9">
        <v>89</v>
      </c>
      <c r="CI107" s="9">
        <v>84</v>
      </c>
      <c r="CJ107" s="9">
        <v>76</v>
      </c>
      <c r="CK107" s="12">
        <f t="shared" si="52"/>
        <v>1207.5</v>
      </c>
      <c r="CL107" s="9">
        <f t="shared" si="41"/>
        <v>347.5</v>
      </c>
      <c r="CM107" s="9">
        <f t="shared" si="42"/>
        <v>339</v>
      </c>
      <c r="CN107" s="9">
        <f t="shared" si="43"/>
        <v>653.5</v>
      </c>
      <c r="CO107" s="9">
        <f t="shared" si="53"/>
        <v>554</v>
      </c>
      <c r="CQ107" s="9">
        <f t="shared" si="44"/>
        <v>699</v>
      </c>
      <c r="CR107" s="9">
        <f t="shared" si="45"/>
        <v>554</v>
      </c>
    </row>
    <row r="108" spans="1:96" ht="29.25">
      <c r="A108" t="str">
        <f t="shared" si="28"/>
        <v>413</v>
      </c>
      <c r="B108">
        <f t="shared" si="32"/>
        <v>413</v>
      </c>
      <c r="C108" s="15" t="s">
        <v>116</v>
      </c>
      <c r="D108" s="11"/>
      <c r="E108" s="9">
        <f>SUM(103.424985733239*0.5)</f>
        <v>51.712492866619499</v>
      </c>
      <c r="F108" s="9">
        <v>90.845238095238102</v>
      </c>
      <c r="G108" s="9">
        <v>118.619047619048</v>
      </c>
      <c r="H108" s="9">
        <v>109.532738095238</v>
      </c>
      <c r="I108" s="9">
        <v>139.291666666667</v>
      </c>
      <c r="J108" s="9">
        <v>132.541666666667</v>
      </c>
      <c r="K108" s="9">
        <v>124.017857142857</v>
      </c>
      <c r="L108" s="9">
        <v>148.544642857143</v>
      </c>
      <c r="M108" s="9">
        <v>115.24702380952399</v>
      </c>
      <c r="N108" s="9">
        <v>136.37797619047601</v>
      </c>
      <c r="O108" s="9">
        <v>114.142857142857</v>
      </c>
      <c r="P108" s="9">
        <v>115.02380952381</v>
      </c>
      <c r="Q108" s="9">
        <v>98.657738095238102</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9">
        <v>0</v>
      </c>
      <c r="AO108" s="9">
        <v>0</v>
      </c>
      <c r="AP108" s="9">
        <v>0</v>
      </c>
      <c r="AQ108" s="9">
        <v>0</v>
      </c>
      <c r="AR108" s="9">
        <v>0</v>
      </c>
      <c r="AS108" s="9">
        <v>0</v>
      </c>
      <c r="AT108" s="9">
        <v>0</v>
      </c>
      <c r="AU108" s="9">
        <v>0</v>
      </c>
      <c r="AV108" s="9">
        <v>0</v>
      </c>
      <c r="AW108" s="9">
        <v>0</v>
      </c>
      <c r="AX108" s="9">
        <f t="shared" si="33"/>
        <v>1569.2824925099519</v>
      </c>
      <c r="AY108" s="9">
        <f t="shared" si="34"/>
        <v>389.24499250995081</v>
      </c>
      <c r="AZ108" s="9">
        <f t="shared" si="35"/>
        <v>487.41250000000014</v>
      </c>
      <c r="BA108" s="9">
        <f t="shared" si="36"/>
        <v>804.88874250995127</v>
      </c>
      <c r="BB108" s="9">
        <f t="shared" si="37"/>
        <v>764.39375000000052</v>
      </c>
      <c r="BC108" s="20"/>
      <c r="BD108" s="9">
        <v>677</v>
      </c>
      <c r="BF108" s="9">
        <v>569</v>
      </c>
      <c r="BH108" s="9">
        <v>159</v>
      </c>
      <c r="BI108" s="9">
        <f t="shared" si="38"/>
        <v>159</v>
      </c>
      <c r="BJ108" s="9">
        <f t="shared" si="27"/>
        <v>1494.5547547713827</v>
      </c>
      <c r="BK108" s="12">
        <f t="shared" si="50"/>
        <v>159</v>
      </c>
      <c r="BP108" s="9">
        <v>56</v>
      </c>
      <c r="BQ108" s="9">
        <f t="shared" si="39"/>
        <v>56</v>
      </c>
      <c r="BR108" s="12">
        <f t="shared" si="40"/>
        <v>1494.5547547713827</v>
      </c>
      <c r="BS108" s="23">
        <f t="shared" si="51"/>
        <v>56</v>
      </c>
      <c r="BU108" s="9">
        <v>0</v>
      </c>
      <c r="BW108" s="9">
        <v>28</v>
      </c>
      <c r="BX108" s="9">
        <v>99</v>
      </c>
      <c r="BY108" s="9">
        <v>118</v>
      </c>
      <c r="BZ108" s="9">
        <v>100</v>
      </c>
      <c r="CA108" s="9">
        <v>125</v>
      </c>
      <c r="CB108" s="9">
        <v>116</v>
      </c>
      <c r="CC108" s="9">
        <v>149</v>
      </c>
      <c r="CD108" s="9">
        <v>149</v>
      </c>
      <c r="CE108" s="9">
        <v>134</v>
      </c>
      <c r="CF108" s="9">
        <v>155</v>
      </c>
      <c r="CG108" s="9">
        <v>131</v>
      </c>
      <c r="CH108" s="9">
        <v>136</v>
      </c>
      <c r="CI108" s="9">
        <v>117</v>
      </c>
      <c r="CJ108" s="9">
        <v>116</v>
      </c>
      <c r="CK108" s="12">
        <f t="shared" si="52"/>
        <v>1595.5</v>
      </c>
      <c r="CL108" s="9">
        <f t="shared" si="41"/>
        <v>392.5</v>
      </c>
      <c r="CM108" s="9">
        <f t="shared" si="42"/>
        <v>500</v>
      </c>
      <c r="CN108" s="9">
        <f t="shared" si="43"/>
        <v>806.5</v>
      </c>
      <c r="CO108" s="9">
        <f t="shared" si="53"/>
        <v>789</v>
      </c>
      <c r="CQ108" s="9">
        <f t="shared" si="44"/>
        <v>856</v>
      </c>
      <c r="CR108" s="9">
        <f t="shared" si="45"/>
        <v>789</v>
      </c>
    </row>
    <row r="109" spans="1:96" ht="29.25">
      <c r="A109" t="str">
        <f t="shared" si="28"/>
        <v>414</v>
      </c>
      <c r="B109">
        <f t="shared" si="32"/>
        <v>414</v>
      </c>
      <c r="C109" s="15" t="s">
        <v>117</v>
      </c>
      <c r="D109" s="11"/>
      <c r="E109" s="9">
        <f>SUM(148.136645962733*0.5)</f>
        <v>74.068322981366506</v>
      </c>
      <c r="F109" s="9">
        <v>125.10882352941201</v>
      </c>
      <c r="G109" s="9">
        <v>158.87647058823501</v>
      </c>
      <c r="H109" s="9">
        <v>136.35882352941201</v>
      </c>
      <c r="I109" s="9">
        <v>160.708823529412</v>
      </c>
      <c r="J109" s="9">
        <v>153.56176470588201</v>
      </c>
      <c r="K109" s="9">
        <v>151.47953216374299</v>
      </c>
      <c r="L109" s="9">
        <v>137.07894736842101</v>
      </c>
      <c r="M109" s="9">
        <v>137.93274853801199</v>
      </c>
      <c r="N109" s="9">
        <v>135.69005847953201</v>
      </c>
      <c r="O109" s="9">
        <v>135.59064327485399</v>
      </c>
      <c r="P109" s="9">
        <v>117.938596491228</v>
      </c>
      <c r="Q109" s="9">
        <v>116.421052631579</v>
      </c>
      <c r="R109" s="9">
        <v>0</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c r="AO109" s="9">
        <v>0</v>
      </c>
      <c r="AP109" s="9">
        <v>0</v>
      </c>
      <c r="AQ109" s="9">
        <v>0</v>
      </c>
      <c r="AR109" s="9">
        <v>0</v>
      </c>
      <c r="AS109" s="9">
        <v>0</v>
      </c>
      <c r="AT109" s="9">
        <v>4.6431372549019603</v>
      </c>
      <c r="AU109" s="9">
        <v>6.7137254901960803</v>
      </c>
      <c r="AV109" s="9">
        <v>7.5137254901960802</v>
      </c>
      <c r="AW109" s="9">
        <v>1.03529411764706</v>
      </c>
      <c r="AX109" s="9">
        <f t="shared" si="33"/>
        <v>1848.7565146722313</v>
      </c>
      <c r="AY109" s="9">
        <f t="shared" si="34"/>
        <v>519.13306265984681</v>
      </c>
      <c r="AZ109" s="9">
        <f t="shared" si="35"/>
        <v>551.82354489164084</v>
      </c>
      <c r="BA109" s="9">
        <f t="shared" si="36"/>
        <v>1008.1706890788357</v>
      </c>
      <c r="BB109" s="9">
        <f t="shared" si="37"/>
        <v>840.5858255933955</v>
      </c>
      <c r="BC109" s="20"/>
      <c r="BD109" s="9">
        <v>625</v>
      </c>
      <c r="BF109" s="9">
        <v>660</v>
      </c>
      <c r="BH109" s="9">
        <v>145</v>
      </c>
      <c r="BI109" s="9">
        <f t="shared" si="38"/>
        <v>145</v>
      </c>
      <c r="BJ109" s="9">
        <f t="shared" si="27"/>
        <v>1740.8146078110885</v>
      </c>
      <c r="BK109" s="12">
        <f t="shared" si="50"/>
        <v>145</v>
      </c>
      <c r="BP109" s="9">
        <v>80</v>
      </c>
      <c r="BQ109" s="9">
        <f t="shared" si="39"/>
        <v>80</v>
      </c>
      <c r="BR109" s="12">
        <f t="shared" si="40"/>
        <v>1740.8146078110885</v>
      </c>
      <c r="BS109" s="23">
        <f t="shared" si="51"/>
        <v>80</v>
      </c>
      <c r="BU109" s="9">
        <v>76</v>
      </c>
      <c r="BW109" s="9">
        <v>28</v>
      </c>
      <c r="BX109" s="9">
        <v>138</v>
      </c>
      <c r="BY109" s="9">
        <v>164</v>
      </c>
      <c r="BZ109" s="9">
        <v>141</v>
      </c>
      <c r="CA109" s="9">
        <v>169</v>
      </c>
      <c r="CB109" s="9">
        <v>156</v>
      </c>
      <c r="CC109" s="9">
        <v>183</v>
      </c>
      <c r="CD109" s="9">
        <v>166</v>
      </c>
      <c r="CE109" s="9">
        <v>154</v>
      </c>
      <c r="CF109" s="9">
        <v>149</v>
      </c>
      <c r="CG109" s="9">
        <v>148</v>
      </c>
      <c r="CH109" s="9">
        <v>141</v>
      </c>
      <c r="CI109" s="9">
        <v>138</v>
      </c>
      <c r="CJ109" s="9">
        <v>118</v>
      </c>
      <c r="CK109" s="12">
        <f t="shared" si="52"/>
        <v>1896</v>
      </c>
      <c r="CL109" s="9">
        <f t="shared" si="41"/>
        <v>543</v>
      </c>
      <c r="CM109" s="9">
        <f t="shared" si="42"/>
        <v>545</v>
      </c>
      <c r="CN109" s="9">
        <f t="shared" si="43"/>
        <v>1048</v>
      </c>
      <c r="CO109" s="9">
        <f t="shared" si="53"/>
        <v>848</v>
      </c>
      <c r="CQ109" s="9">
        <f t="shared" si="44"/>
        <v>1117</v>
      </c>
      <c r="CR109" s="9">
        <f t="shared" si="45"/>
        <v>848</v>
      </c>
    </row>
    <row r="110" spans="1:96" ht="29.25">
      <c r="A110" t="str">
        <f t="shared" si="28"/>
        <v>415</v>
      </c>
      <c r="B110">
        <f t="shared" si="32"/>
        <v>415</v>
      </c>
      <c r="C110" s="15" t="s">
        <v>118</v>
      </c>
      <c r="D110" s="11"/>
      <c r="E110" s="9">
        <f>SUM(27.4652777777778*0.5)</f>
        <v>13.7326388888889</v>
      </c>
      <c r="F110" s="9">
        <v>26.0277777777778</v>
      </c>
      <c r="G110" s="9">
        <v>23.75</v>
      </c>
      <c r="H110" s="9">
        <v>23.1388888888889</v>
      </c>
      <c r="I110" s="9">
        <v>25.4166666666667</v>
      </c>
      <c r="J110" s="9">
        <v>24.4305555555556</v>
      </c>
      <c r="K110" s="9">
        <v>24.5451388888889</v>
      </c>
      <c r="L110" s="9">
        <v>26.0729166666667</v>
      </c>
      <c r="M110" s="9">
        <v>10.4375</v>
      </c>
      <c r="N110" s="9">
        <v>13.7256944444444</v>
      </c>
      <c r="O110" s="9">
        <v>25.8298611111111</v>
      </c>
      <c r="P110" s="9">
        <v>26.6701388888889</v>
      </c>
      <c r="Q110" s="9">
        <v>23.1527777777778</v>
      </c>
      <c r="R110" s="9">
        <v>0</v>
      </c>
      <c r="S110" s="9">
        <v>0</v>
      </c>
      <c r="T110" s="9">
        <v>0</v>
      </c>
      <c r="U110" s="9">
        <v>0</v>
      </c>
      <c r="V110" s="9">
        <v>0</v>
      </c>
      <c r="W110" s="9">
        <v>0</v>
      </c>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9">
        <v>0</v>
      </c>
      <c r="AO110" s="9">
        <v>0</v>
      </c>
      <c r="AP110" s="9">
        <v>0</v>
      </c>
      <c r="AQ110" s="9">
        <v>0</v>
      </c>
      <c r="AR110" s="9">
        <v>0</v>
      </c>
      <c r="AS110" s="9">
        <v>0</v>
      </c>
      <c r="AT110" s="9">
        <v>0</v>
      </c>
      <c r="AU110" s="9">
        <v>0</v>
      </c>
      <c r="AV110" s="9">
        <v>0</v>
      </c>
      <c r="AW110" s="9">
        <v>0</v>
      </c>
      <c r="AX110" s="9">
        <f t="shared" si="33"/>
        <v>301.27708333333345</v>
      </c>
      <c r="AY110" s="9">
        <f t="shared" si="34"/>
        <v>90.981770833333385</v>
      </c>
      <c r="AZ110" s="9">
        <f t="shared" si="35"/>
        <v>93.847395833333309</v>
      </c>
      <c r="BA110" s="9">
        <f t="shared" si="36"/>
        <v>169.09375000000014</v>
      </c>
      <c r="BB110" s="9">
        <f t="shared" si="37"/>
        <v>132.18333333333334</v>
      </c>
      <c r="BC110" s="20"/>
      <c r="BD110" s="9">
        <v>217</v>
      </c>
      <c r="BF110" s="9">
        <v>207</v>
      </c>
      <c r="BH110" s="9">
        <v>49</v>
      </c>
      <c r="BI110" s="9">
        <f t="shared" si="38"/>
        <v>49</v>
      </c>
      <c r="BJ110" s="9">
        <f t="shared" si="27"/>
        <v>286.93055555555566</v>
      </c>
      <c r="BK110" s="12">
        <f t="shared" si="50"/>
        <v>49</v>
      </c>
      <c r="BP110" s="9">
        <v>46</v>
      </c>
      <c r="BQ110" s="9">
        <f t="shared" si="39"/>
        <v>46</v>
      </c>
      <c r="BR110" s="12">
        <f t="shared" si="40"/>
        <v>286.93055555555566</v>
      </c>
      <c r="BS110" s="23">
        <f t="shared" si="51"/>
        <v>46</v>
      </c>
      <c r="BU110" s="9">
        <v>0</v>
      </c>
      <c r="BW110" s="9">
        <v>22</v>
      </c>
      <c r="BX110" s="9">
        <v>23</v>
      </c>
      <c r="BY110" s="9">
        <v>21</v>
      </c>
      <c r="BZ110" s="9">
        <v>20</v>
      </c>
      <c r="CA110" s="9">
        <v>26</v>
      </c>
      <c r="CB110" s="9">
        <v>21</v>
      </c>
      <c r="CC110" s="9">
        <v>23</v>
      </c>
      <c r="CD110" s="9">
        <v>30</v>
      </c>
      <c r="CE110" s="9">
        <v>27</v>
      </c>
      <c r="CF110" s="9">
        <v>26</v>
      </c>
      <c r="CG110" s="9">
        <v>14</v>
      </c>
      <c r="CH110" s="9">
        <v>15</v>
      </c>
      <c r="CI110" s="9">
        <v>27</v>
      </c>
      <c r="CJ110" s="9">
        <v>25</v>
      </c>
      <c r="CK110" s="12">
        <f t="shared" si="52"/>
        <v>286.5</v>
      </c>
      <c r="CL110" s="9">
        <f t="shared" si="41"/>
        <v>78.5</v>
      </c>
      <c r="CM110" s="9">
        <f t="shared" si="42"/>
        <v>81</v>
      </c>
      <c r="CN110" s="9">
        <f t="shared" si="43"/>
        <v>152.5</v>
      </c>
      <c r="CO110" s="9">
        <f t="shared" si="53"/>
        <v>134</v>
      </c>
      <c r="CQ110" s="9">
        <f t="shared" si="44"/>
        <v>164</v>
      </c>
      <c r="CR110" s="9">
        <f t="shared" si="45"/>
        <v>134</v>
      </c>
    </row>
    <row r="111" spans="1:96" ht="43.5">
      <c r="A111" t="str">
        <f t="shared" si="28"/>
        <v>416</v>
      </c>
      <c r="B111">
        <f t="shared" si="32"/>
        <v>416</v>
      </c>
      <c r="C111" s="15" t="s">
        <v>119</v>
      </c>
      <c r="D111" s="11"/>
      <c r="E111" s="9">
        <f>SUM(0.888888888888889*0.5)</f>
        <v>0.44444444444444448</v>
      </c>
      <c r="F111" s="9">
        <v>0.98596491228070204</v>
      </c>
      <c r="G111" s="9">
        <v>1.22456140350877</v>
      </c>
      <c r="H111" s="9">
        <v>0.99298245614035097</v>
      </c>
      <c r="I111" s="9">
        <v>0.99298245614035097</v>
      </c>
      <c r="J111" s="9">
        <v>0</v>
      </c>
      <c r="K111" s="9">
        <v>0.99298245614035097</v>
      </c>
      <c r="L111" s="9">
        <v>0.99298245614035097</v>
      </c>
      <c r="M111" s="9">
        <v>0.99298245614035097</v>
      </c>
      <c r="N111" s="9">
        <v>0</v>
      </c>
      <c r="O111" s="9">
        <v>0</v>
      </c>
      <c r="P111" s="9">
        <v>0</v>
      </c>
      <c r="Q111" s="9">
        <v>0</v>
      </c>
      <c r="R111" s="9">
        <v>0</v>
      </c>
      <c r="S111" s="9">
        <v>0</v>
      </c>
      <c r="T111" s="9">
        <v>0</v>
      </c>
      <c r="U111" s="9">
        <v>0</v>
      </c>
      <c r="V111" s="9">
        <v>0</v>
      </c>
      <c r="W111" s="9">
        <v>0</v>
      </c>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9">
        <v>0</v>
      </c>
      <c r="AO111" s="9">
        <v>0</v>
      </c>
      <c r="AP111" s="9">
        <v>0</v>
      </c>
      <c r="AQ111" s="9">
        <v>0</v>
      </c>
      <c r="AR111" s="9">
        <v>0</v>
      </c>
      <c r="AS111" s="9">
        <v>0</v>
      </c>
      <c r="AT111" s="9">
        <v>0</v>
      </c>
      <c r="AU111" s="9">
        <v>0</v>
      </c>
      <c r="AV111" s="9">
        <v>0</v>
      </c>
      <c r="AW111" s="9">
        <v>0</v>
      </c>
      <c r="AX111" s="9">
        <f t="shared" si="33"/>
        <v>8.000877192982454</v>
      </c>
      <c r="AY111" s="9">
        <f t="shared" si="34"/>
        <v>3.8303508771929806</v>
      </c>
      <c r="AZ111" s="9">
        <f t="shared" si="35"/>
        <v>0</v>
      </c>
      <c r="BA111" s="9">
        <f t="shared" si="36"/>
        <v>5.9156140350877173</v>
      </c>
      <c r="BB111" s="9">
        <f t="shared" si="37"/>
        <v>2.0852631578947372</v>
      </c>
      <c r="BC111" s="20"/>
      <c r="BD111" s="153">
        <v>2.66</v>
      </c>
      <c r="BF111" s="9">
        <v>6</v>
      </c>
      <c r="BH111" s="9" t="e">
        <v>#N/A</v>
      </c>
      <c r="BI111" s="9" t="str">
        <f t="shared" si="38"/>
        <v/>
      </c>
      <c r="BJ111" s="9" t="str">
        <f t="shared" si="27"/>
        <v/>
      </c>
      <c r="BK111" s="12">
        <f t="shared" si="50"/>
        <v>0.94534536405840508</v>
      </c>
      <c r="BP111" s="9">
        <v>0</v>
      </c>
      <c r="BQ111" s="9">
        <f t="shared" si="39"/>
        <v>0</v>
      </c>
      <c r="BR111" s="12">
        <f t="shared" si="40"/>
        <v>7.6198830409356706</v>
      </c>
      <c r="BS111" s="23">
        <f t="shared" si="51"/>
        <v>0</v>
      </c>
      <c r="BU111" s="9">
        <v>0</v>
      </c>
      <c r="BW111" s="9">
        <v>0</v>
      </c>
      <c r="BX111" s="9">
        <v>1</v>
      </c>
      <c r="BY111" s="9">
        <v>1</v>
      </c>
      <c r="BZ111" s="9">
        <v>0</v>
      </c>
      <c r="CA111" s="9">
        <v>1</v>
      </c>
      <c r="CB111" s="9">
        <v>0</v>
      </c>
      <c r="CC111" s="9">
        <v>1</v>
      </c>
      <c r="CD111" s="9">
        <v>0</v>
      </c>
      <c r="CE111" s="9">
        <v>1</v>
      </c>
      <c r="CF111" s="9">
        <v>1</v>
      </c>
      <c r="CG111" s="9">
        <v>0</v>
      </c>
      <c r="CH111" s="9">
        <v>0</v>
      </c>
      <c r="CI111" s="9">
        <v>0</v>
      </c>
      <c r="CJ111" s="9">
        <v>0</v>
      </c>
      <c r="CK111" s="12">
        <f t="shared" si="52"/>
        <v>5.5</v>
      </c>
      <c r="CL111" s="9">
        <f t="shared" si="41"/>
        <v>2.5</v>
      </c>
      <c r="CM111" s="9">
        <f t="shared" si="42"/>
        <v>0</v>
      </c>
      <c r="CN111" s="9">
        <f t="shared" si="43"/>
        <v>3.5</v>
      </c>
      <c r="CO111" s="207">
        <f t="shared" si="48"/>
        <v>2</v>
      </c>
      <c r="CQ111" s="9">
        <f t="shared" si="44"/>
        <v>4</v>
      </c>
      <c r="CR111" s="9">
        <f t="shared" si="45"/>
        <v>2</v>
      </c>
    </row>
    <row r="112" spans="1:96" ht="29.25">
      <c r="A112" t="str">
        <f t="shared" si="28"/>
        <v>417</v>
      </c>
      <c r="B112">
        <f t="shared" si="32"/>
        <v>417</v>
      </c>
      <c r="C112" s="15" t="s">
        <v>120</v>
      </c>
      <c r="D112" s="11"/>
      <c r="E112" s="9">
        <f>SUM(16.9223602484472*0.5)</f>
        <v>8.4611801242236009</v>
      </c>
      <c r="F112" s="9">
        <v>25.024844720496901</v>
      </c>
      <c r="G112" s="9">
        <v>28.1086956521739</v>
      </c>
      <c r="H112" s="9">
        <v>23.2298136645963</v>
      </c>
      <c r="I112" s="9">
        <v>17.248447204968901</v>
      </c>
      <c r="J112" s="9">
        <v>21.369565217391301</v>
      </c>
      <c r="K112" s="9">
        <v>25.863354037267101</v>
      </c>
      <c r="L112" s="9">
        <v>26.2981366459627</v>
      </c>
      <c r="M112" s="9">
        <v>24.5621118012422</v>
      </c>
      <c r="N112" s="9">
        <v>29.984567901234598</v>
      </c>
      <c r="O112" s="9">
        <v>18.4969135802469</v>
      </c>
      <c r="P112" s="9">
        <v>24.598765432098801</v>
      </c>
      <c r="Q112" s="9">
        <v>13.185185185185199</v>
      </c>
      <c r="R112" s="9">
        <v>0</v>
      </c>
      <c r="S112" s="9">
        <v>0</v>
      </c>
      <c r="T112" s="9">
        <v>0</v>
      </c>
      <c r="U112" s="9">
        <v>0</v>
      </c>
      <c r="V112" s="9">
        <v>0</v>
      </c>
      <c r="W112" s="9">
        <v>0</v>
      </c>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9">
        <v>0</v>
      </c>
      <c r="AO112" s="9">
        <v>0</v>
      </c>
      <c r="AP112" s="9">
        <v>0</v>
      </c>
      <c r="AQ112" s="9">
        <v>0</v>
      </c>
      <c r="AR112" s="9">
        <v>0</v>
      </c>
      <c r="AS112" s="9">
        <v>0</v>
      </c>
      <c r="AT112" s="9">
        <v>0</v>
      </c>
      <c r="AU112" s="9">
        <v>0</v>
      </c>
      <c r="AV112" s="9">
        <v>0</v>
      </c>
      <c r="AW112" s="9">
        <v>0</v>
      </c>
      <c r="AX112" s="9">
        <f t="shared" si="33"/>
        <v>300.75316022544285</v>
      </c>
      <c r="AY112" s="9">
        <f t="shared" si="34"/>
        <v>89.065760869565239</v>
      </c>
      <c r="AZ112" s="9">
        <f t="shared" si="35"/>
        <v>90.578703703703781</v>
      </c>
      <c r="BA112" s="9">
        <f t="shared" si="36"/>
        <v>156.7711956521739</v>
      </c>
      <c r="BB112" s="9">
        <f t="shared" si="37"/>
        <v>143.98196457326893</v>
      </c>
      <c r="BC112" s="20"/>
      <c r="BD112" s="9">
        <v>184</v>
      </c>
      <c r="BF112" s="9">
        <v>226</v>
      </c>
      <c r="BH112" s="9">
        <v>19</v>
      </c>
      <c r="BI112" s="9">
        <f t="shared" si="38"/>
        <v>19</v>
      </c>
      <c r="BJ112" s="9">
        <f t="shared" si="27"/>
        <v>286.43158116708844</v>
      </c>
      <c r="BK112" s="12">
        <f t="shared" si="50"/>
        <v>19</v>
      </c>
      <c r="BP112" s="9">
        <v>48</v>
      </c>
      <c r="BQ112" s="9">
        <f t="shared" si="39"/>
        <v>48</v>
      </c>
      <c r="BR112" s="12">
        <f t="shared" si="40"/>
        <v>286.43158116708844</v>
      </c>
      <c r="BS112" s="23">
        <f t="shared" si="51"/>
        <v>48</v>
      </c>
      <c r="BU112" s="9">
        <v>0</v>
      </c>
      <c r="BW112" s="9">
        <v>0</v>
      </c>
      <c r="BX112" s="9">
        <v>34</v>
      </c>
      <c r="BY112" s="9">
        <v>20</v>
      </c>
      <c r="BZ112" s="9">
        <v>27</v>
      </c>
      <c r="CA112" s="9">
        <v>36</v>
      </c>
      <c r="CB112" s="9">
        <v>29</v>
      </c>
      <c r="CC112" s="9">
        <v>22</v>
      </c>
      <c r="CD112" s="9">
        <v>25</v>
      </c>
      <c r="CE112" s="9">
        <v>30</v>
      </c>
      <c r="CF112" s="9">
        <v>32</v>
      </c>
      <c r="CG112" s="9">
        <v>28</v>
      </c>
      <c r="CH112" s="9">
        <v>30</v>
      </c>
      <c r="CI112" s="9">
        <v>20</v>
      </c>
      <c r="CJ112" s="9">
        <v>22</v>
      </c>
      <c r="CK112" s="12">
        <f t="shared" si="52"/>
        <v>338</v>
      </c>
      <c r="CL112" s="9">
        <f t="shared" si="41"/>
        <v>100</v>
      </c>
      <c r="CM112" s="9">
        <f t="shared" si="42"/>
        <v>100</v>
      </c>
      <c r="CN112" s="9">
        <f t="shared" si="43"/>
        <v>176</v>
      </c>
      <c r="CO112" s="9">
        <f t="shared" ref="CO112:CO120" si="54">MAX($D$181,(SUM(CE112:CJ112)))</f>
        <v>162</v>
      </c>
      <c r="CQ112" s="9">
        <f t="shared" si="44"/>
        <v>193</v>
      </c>
      <c r="CR112" s="9">
        <f t="shared" si="45"/>
        <v>162</v>
      </c>
    </row>
    <row r="113" spans="1:96" ht="29.25">
      <c r="A113" t="str">
        <f t="shared" si="28"/>
        <v>418</v>
      </c>
      <c r="B113">
        <f t="shared" si="32"/>
        <v>418</v>
      </c>
      <c r="C113" s="15" t="s">
        <v>121</v>
      </c>
      <c r="D113" s="11"/>
      <c r="E113" s="9">
        <f>SUM(31.2528735632184*0.5)</f>
        <v>15.6264367816092</v>
      </c>
      <c r="F113" s="9">
        <v>35.815028901734102</v>
      </c>
      <c r="G113" s="9">
        <v>25.699421965317899</v>
      </c>
      <c r="H113" s="9">
        <v>25.976878612716799</v>
      </c>
      <c r="I113" s="9">
        <v>34.190751445086697</v>
      </c>
      <c r="J113" s="9">
        <v>31.907514450867101</v>
      </c>
      <c r="K113" s="9">
        <v>20.684971098265901</v>
      </c>
      <c r="L113" s="9">
        <v>27.953757225433499</v>
      </c>
      <c r="M113" s="9">
        <v>30.265895953757202</v>
      </c>
      <c r="N113" s="9">
        <v>18.231213872832399</v>
      </c>
      <c r="O113" s="9">
        <v>23.705202312138699</v>
      </c>
      <c r="P113" s="9">
        <v>18.1127167630058</v>
      </c>
      <c r="Q113" s="9">
        <v>12.149390243902401</v>
      </c>
      <c r="R113" s="9">
        <v>0</v>
      </c>
      <c r="S113" s="9">
        <v>0</v>
      </c>
      <c r="T113" s="9">
        <v>0</v>
      </c>
      <c r="U113" s="9">
        <v>0</v>
      </c>
      <c r="V113" s="9">
        <v>0</v>
      </c>
      <c r="W113" s="9">
        <v>0</v>
      </c>
      <c r="X113" s="9">
        <v>0</v>
      </c>
      <c r="Y113" s="9">
        <v>0</v>
      </c>
      <c r="Z113" s="9">
        <v>0</v>
      </c>
      <c r="AA113" s="9">
        <v>0</v>
      </c>
      <c r="AB113" s="9">
        <v>0</v>
      </c>
      <c r="AC113" s="9">
        <v>0</v>
      </c>
      <c r="AD113" s="9">
        <v>0</v>
      </c>
      <c r="AE113" s="9">
        <v>0</v>
      </c>
      <c r="AF113" s="9">
        <v>0</v>
      </c>
      <c r="AG113" s="9">
        <v>0</v>
      </c>
      <c r="AH113" s="9">
        <v>0</v>
      </c>
      <c r="AI113" s="9">
        <v>0</v>
      </c>
      <c r="AJ113" s="9">
        <v>0</v>
      </c>
      <c r="AK113" s="9">
        <v>0</v>
      </c>
      <c r="AL113" s="9">
        <v>0</v>
      </c>
      <c r="AM113" s="9">
        <v>0</v>
      </c>
      <c r="AN113" s="9">
        <v>0</v>
      </c>
      <c r="AO113" s="9">
        <v>0</v>
      </c>
      <c r="AP113" s="9">
        <v>0</v>
      </c>
      <c r="AQ113" s="9">
        <v>0</v>
      </c>
      <c r="AR113" s="9">
        <v>0</v>
      </c>
      <c r="AS113" s="9">
        <v>0</v>
      </c>
      <c r="AT113" s="9">
        <v>0</v>
      </c>
      <c r="AU113" s="9">
        <v>0</v>
      </c>
      <c r="AV113" s="9">
        <v>0</v>
      </c>
      <c r="AW113" s="9">
        <v>0</v>
      </c>
      <c r="AX113" s="9">
        <f t="shared" si="33"/>
        <v>336.33513860800099</v>
      </c>
      <c r="AY113" s="9">
        <f t="shared" si="34"/>
        <v>108.27365457444691</v>
      </c>
      <c r="AZ113" s="9">
        <f t="shared" si="35"/>
        <v>75.808449351473257</v>
      </c>
      <c r="BA113" s="9">
        <f t="shared" si="36"/>
        <v>199.39605341837759</v>
      </c>
      <c r="BB113" s="9">
        <f t="shared" si="37"/>
        <v>136.93908518962348</v>
      </c>
      <c r="BC113" s="20"/>
      <c r="BD113" s="9">
        <v>240</v>
      </c>
      <c r="BF113" s="9">
        <v>237</v>
      </c>
      <c r="BH113" s="9">
        <v>31</v>
      </c>
      <c r="BI113" s="9">
        <f t="shared" si="38"/>
        <v>31</v>
      </c>
      <c r="BJ113" s="9">
        <f t="shared" ref="BJ113:BJ176" si="55">IFERROR(IF(BH113&gt;0,SUM(E113:Q113),""),"")</f>
        <v>320.31917962666762</v>
      </c>
      <c r="BK113" s="12">
        <f t="shared" si="50"/>
        <v>31</v>
      </c>
      <c r="BP113" s="9">
        <v>50</v>
      </c>
      <c r="BQ113" s="9">
        <f t="shared" si="39"/>
        <v>50</v>
      </c>
      <c r="BR113" s="12">
        <f t="shared" si="40"/>
        <v>320.31917962666762</v>
      </c>
      <c r="BS113" s="23">
        <f t="shared" si="51"/>
        <v>50</v>
      </c>
      <c r="BU113" s="9">
        <v>31</v>
      </c>
      <c r="BW113" s="9">
        <v>1</v>
      </c>
      <c r="BX113" s="9">
        <v>36</v>
      </c>
      <c r="BY113" s="9">
        <v>34</v>
      </c>
      <c r="BZ113" s="9">
        <v>33</v>
      </c>
      <c r="CA113" s="9">
        <v>28</v>
      </c>
      <c r="CB113" s="9">
        <v>31</v>
      </c>
      <c r="CC113" s="9">
        <v>33</v>
      </c>
      <c r="CD113" s="9">
        <v>36</v>
      </c>
      <c r="CE113" s="9">
        <v>23</v>
      </c>
      <c r="CF113" s="9">
        <v>23</v>
      </c>
      <c r="CG113" s="9">
        <v>31</v>
      </c>
      <c r="CH113" s="9">
        <v>18</v>
      </c>
      <c r="CI113" s="9">
        <v>20</v>
      </c>
      <c r="CJ113" s="9">
        <v>15</v>
      </c>
      <c r="CK113" s="12">
        <f t="shared" si="52"/>
        <v>343</v>
      </c>
      <c r="CL113" s="9">
        <f t="shared" si="41"/>
        <v>113</v>
      </c>
      <c r="CM113" s="9">
        <f t="shared" si="42"/>
        <v>84</v>
      </c>
      <c r="CN113" s="9">
        <f t="shared" si="43"/>
        <v>213</v>
      </c>
      <c r="CO113" s="9">
        <f t="shared" si="54"/>
        <v>130</v>
      </c>
      <c r="CQ113" s="9">
        <f t="shared" si="44"/>
        <v>231</v>
      </c>
      <c r="CR113" s="9">
        <f t="shared" si="45"/>
        <v>130</v>
      </c>
    </row>
    <row r="114" spans="1:96" ht="29.25">
      <c r="A114" t="str">
        <f t="shared" si="28"/>
        <v>421</v>
      </c>
      <c r="B114">
        <f t="shared" si="32"/>
        <v>421</v>
      </c>
      <c r="C114" s="15" t="s">
        <v>122</v>
      </c>
      <c r="D114" s="11"/>
      <c r="E114" s="9">
        <f>SUM(85.2011494252874*0.5)</f>
        <v>42.600574712643699</v>
      </c>
      <c r="F114" s="9">
        <v>84.778735632183896</v>
      </c>
      <c r="G114" s="9">
        <v>76.75</v>
      </c>
      <c r="H114" s="9">
        <v>88.436781609195407</v>
      </c>
      <c r="I114" s="9">
        <v>99.298850574712603</v>
      </c>
      <c r="J114" s="9">
        <v>106.81321839080501</v>
      </c>
      <c r="K114" s="9">
        <v>77.738505747126396</v>
      </c>
      <c r="L114" s="9">
        <v>98.272988505747094</v>
      </c>
      <c r="M114" s="9">
        <v>81.534482758620697</v>
      </c>
      <c r="N114" s="9">
        <v>104.465517241379</v>
      </c>
      <c r="O114" s="9">
        <v>76.887931034482804</v>
      </c>
      <c r="P114" s="9">
        <v>65.393678160919507</v>
      </c>
      <c r="Q114" s="9">
        <v>52.390804597701099</v>
      </c>
      <c r="R114" s="9">
        <v>0</v>
      </c>
      <c r="S114" s="9">
        <v>0</v>
      </c>
      <c r="T114" s="9">
        <v>0</v>
      </c>
      <c r="U114" s="9">
        <v>2.0604571428571399</v>
      </c>
      <c r="V114" s="9">
        <v>3.2253714285714299</v>
      </c>
      <c r="W114" s="9">
        <v>6.1553142857142902</v>
      </c>
      <c r="X114" s="9">
        <v>7.3881142857142903</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9">
        <v>0</v>
      </c>
      <c r="AO114" s="9">
        <v>0</v>
      </c>
      <c r="AP114" s="9">
        <v>0</v>
      </c>
      <c r="AQ114" s="9">
        <v>0</v>
      </c>
      <c r="AR114" s="9">
        <v>0</v>
      </c>
      <c r="AS114" s="9">
        <v>0</v>
      </c>
      <c r="AT114" s="9">
        <v>0</v>
      </c>
      <c r="AU114" s="9">
        <v>0</v>
      </c>
      <c r="AV114" s="9">
        <v>0</v>
      </c>
      <c r="AW114" s="9">
        <v>0</v>
      </c>
      <c r="AX114" s="9">
        <f t="shared" si="33"/>
        <v>1127.9008924137929</v>
      </c>
      <c r="AY114" s="9">
        <f t="shared" si="34"/>
        <v>307.1943965517242</v>
      </c>
      <c r="AZ114" s="9">
        <f t="shared" si="35"/>
        <v>333.86554758620656</v>
      </c>
      <c r="BA114" s="9">
        <f t="shared" si="36"/>
        <v>605.2375000000003</v>
      </c>
      <c r="BB114" s="9">
        <f t="shared" si="37"/>
        <v>522.66339241379274</v>
      </c>
      <c r="BC114" s="20"/>
      <c r="BD114" s="9">
        <v>363</v>
      </c>
      <c r="BF114" s="9">
        <v>323</v>
      </c>
      <c r="BH114" s="9">
        <v>129</v>
      </c>
      <c r="BI114" s="9">
        <f t="shared" si="38"/>
        <v>129</v>
      </c>
      <c r="BJ114" s="9">
        <f t="shared" si="55"/>
        <v>1055.3620689655172</v>
      </c>
      <c r="BK114" s="12">
        <f t="shared" si="50"/>
        <v>129</v>
      </c>
      <c r="BP114" s="9">
        <v>43</v>
      </c>
      <c r="BQ114" s="9">
        <f t="shared" si="39"/>
        <v>43</v>
      </c>
      <c r="BR114" s="12">
        <f t="shared" si="40"/>
        <v>1055.3620689655172</v>
      </c>
      <c r="BS114" s="23">
        <f t="shared" si="51"/>
        <v>43</v>
      </c>
      <c r="BU114" s="9">
        <v>47</v>
      </c>
      <c r="BW114" s="9">
        <v>14</v>
      </c>
      <c r="BX114" s="9">
        <v>90</v>
      </c>
      <c r="BY114" s="9">
        <v>92</v>
      </c>
      <c r="BZ114" s="9">
        <v>95</v>
      </c>
      <c r="CA114" s="9">
        <v>89</v>
      </c>
      <c r="CB114" s="9">
        <v>101</v>
      </c>
      <c r="CC114" s="9">
        <v>107</v>
      </c>
      <c r="CD114" s="9">
        <v>124</v>
      </c>
      <c r="CE114" s="9">
        <v>87</v>
      </c>
      <c r="CF114" s="9">
        <v>106</v>
      </c>
      <c r="CG114" s="9">
        <v>97</v>
      </c>
      <c r="CH114" s="9">
        <v>118</v>
      </c>
      <c r="CI114" s="9">
        <v>91</v>
      </c>
      <c r="CJ114" s="9">
        <v>77</v>
      </c>
      <c r="CK114" s="12">
        <f t="shared" si="52"/>
        <v>1229</v>
      </c>
      <c r="CL114" s="9">
        <f t="shared" si="41"/>
        <v>321</v>
      </c>
      <c r="CM114" s="9">
        <f t="shared" si="42"/>
        <v>383</v>
      </c>
      <c r="CN114" s="9">
        <f t="shared" si="43"/>
        <v>653</v>
      </c>
      <c r="CO114" s="9">
        <f t="shared" si="54"/>
        <v>576</v>
      </c>
      <c r="CQ114" s="9">
        <f t="shared" si="44"/>
        <v>698</v>
      </c>
      <c r="CR114" s="9">
        <f t="shared" si="45"/>
        <v>576</v>
      </c>
    </row>
    <row r="115" spans="1:96" ht="29.25">
      <c r="A115" t="str">
        <f t="shared" si="28"/>
        <v>422</v>
      </c>
      <c r="B115">
        <f t="shared" si="32"/>
        <v>422</v>
      </c>
      <c r="C115" s="15" t="s">
        <v>123</v>
      </c>
      <c r="D115" s="11"/>
      <c r="E115" s="9">
        <f>SUM(12.4846625766871*0.5)</f>
        <v>6.24233128834355</v>
      </c>
      <c r="F115" s="9">
        <v>14.8571428571429</v>
      </c>
      <c r="G115" s="9">
        <v>12.2202380952381</v>
      </c>
      <c r="H115" s="9">
        <v>15.4672619047619</v>
      </c>
      <c r="I115" s="9">
        <v>14.1696428571429</v>
      </c>
      <c r="J115" s="9">
        <v>18.473214285714299</v>
      </c>
      <c r="K115" s="9">
        <v>20.4791666666667</v>
      </c>
      <c r="L115" s="9">
        <v>11.239644970414201</v>
      </c>
      <c r="M115" s="9">
        <v>18.7514792899408</v>
      </c>
      <c r="N115" s="9">
        <v>19.739644970414201</v>
      </c>
      <c r="O115" s="9">
        <v>16.2544378698225</v>
      </c>
      <c r="P115" s="9">
        <v>17.207100591715999</v>
      </c>
      <c r="Q115" s="9">
        <v>13.535502958579899</v>
      </c>
      <c r="R115" s="9">
        <v>0</v>
      </c>
      <c r="S115" s="9">
        <v>0</v>
      </c>
      <c r="T115" s="9">
        <v>0</v>
      </c>
      <c r="U115" s="9">
        <v>0</v>
      </c>
      <c r="V115" s="9">
        <v>0</v>
      </c>
      <c r="W115" s="9">
        <v>0</v>
      </c>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9">
        <v>0</v>
      </c>
      <c r="AO115" s="9">
        <v>0</v>
      </c>
      <c r="AP115" s="9">
        <v>0</v>
      </c>
      <c r="AQ115" s="9">
        <v>0</v>
      </c>
      <c r="AR115" s="9">
        <v>0</v>
      </c>
      <c r="AS115" s="9">
        <v>0</v>
      </c>
      <c r="AT115" s="9">
        <v>0</v>
      </c>
      <c r="AU115" s="9">
        <v>0</v>
      </c>
      <c r="AV115" s="9">
        <v>0</v>
      </c>
      <c r="AW115" s="9">
        <v>0</v>
      </c>
      <c r="AX115" s="9">
        <f t="shared" si="33"/>
        <v>208.56864903619285</v>
      </c>
      <c r="AY115" s="9">
        <f t="shared" si="34"/>
        <v>51.226322852760774</v>
      </c>
      <c r="AZ115" s="9">
        <f t="shared" si="35"/>
        <v>70.073520710059228</v>
      </c>
      <c r="BA115" s="9">
        <f t="shared" si="36"/>
        <v>107.00444785276088</v>
      </c>
      <c r="BB115" s="9">
        <f t="shared" si="37"/>
        <v>101.56420118343198</v>
      </c>
      <c r="BC115" s="20"/>
      <c r="BD115" s="9">
        <v>88</v>
      </c>
      <c r="BF115" s="9">
        <v>90</v>
      </c>
      <c r="BH115" s="9">
        <v>40</v>
      </c>
      <c r="BI115" s="9">
        <f t="shared" si="38"/>
        <v>40</v>
      </c>
      <c r="BJ115" s="9">
        <f t="shared" si="55"/>
        <v>198.63680860589795</v>
      </c>
      <c r="BK115" s="12">
        <f t="shared" si="50"/>
        <v>40</v>
      </c>
      <c r="BP115" s="9">
        <v>0</v>
      </c>
      <c r="BQ115" s="9">
        <f t="shared" si="39"/>
        <v>0</v>
      </c>
      <c r="BR115" s="12">
        <f t="shared" si="40"/>
        <v>198.63680860589795</v>
      </c>
      <c r="BS115" s="23">
        <f t="shared" si="51"/>
        <v>0</v>
      </c>
      <c r="BU115" s="9">
        <v>0</v>
      </c>
      <c r="BW115" s="9">
        <v>8</v>
      </c>
      <c r="BX115" s="9">
        <v>18</v>
      </c>
      <c r="BY115" s="9">
        <v>11</v>
      </c>
      <c r="BZ115" s="9">
        <v>18</v>
      </c>
      <c r="CA115" s="9">
        <v>12</v>
      </c>
      <c r="CB115" s="9">
        <v>15</v>
      </c>
      <c r="CC115" s="9">
        <v>13</v>
      </c>
      <c r="CD115" s="9">
        <v>18</v>
      </c>
      <c r="CE115" s="9">
        <v>19</v>
      </c>
      <c r="CF115" s="9">
        <v>13</v>
      </c>
      <c r="CG115" s="9">
        <v>19</v>
      </c>
      <c r="CH115" s="9">
        <v>22</v>
      </c>
      <c r="CI115" s="9">
        <v>19</v>
      </c>
      <c r="CJ115" s="9">
        <v>21</v>
      </c>
      <c r="CK115" s="12">
        <f t="shared" si="52"/>
        <v>209</v>
      </c>
      <c r="CL115" s="9">
        <f t="shared" si="41"/>
        <v>50</v>
      </c>
      <c r="CM115" s="9">
        <f t="shared" si="42"/>
        <v>81</v>
      </c>
      <c r="CN115" s="9">
        <f t="shared" si="43"/>
        <v>96</v>
      </c>
      <c r="CO115" s="9">
        <f t="shared" si="54"/>
        <v>113</v>
      </c>
      <c r="CQ115" s="9">
        <f t="shared" si="44"/>
        <v>105</v>
      </c>
      <c r="CR115" s="9">
        <f t="shared" si="45"/>
        <v>113</v>
      </c>
    </row>
    <row r="116" spans="1:96" ht="29.25">
      <c r="A116" t="str">
        <f t="shared" si="28"/>
        <v>431</v>
      </c>
      <c r="B116">
        <f t="shared" si="32"/>
        <v>431</v>
      </c>
      <c r="C116" s="15" t="s">
        <v>124</v>
      </c>
      <c r="D116" s="11"/>
      <c r="E116" s="9">
        <f>SUM(93.3207824192479*0.5)</f>
        <v>46.660391209623953</v>
      </c>
      <c r="F116" s="9">
        <v>114.4375</v>
      </c>
      <c r="G116" s="9">
        <v>90.559523809523796</v>
      </c>
      <c r="H116" s="9">
        <v>87.3333333333333</v>
      </c>
      <c r="I116" s="9">
        <v>108.532738095238</v>
      </c>
      <c r="J116" s="9">
        <v>116.96130952381</v>
      </c>
      <c r="K116" s="9">
        <v>122.154761904762</v>
      </c>
      <c r="L116" s="9">
        <v>125.38988095238101</v>
      </c>
      <c r="M116" s="9">
        <v>115.08630952381</v>
      </c>
      <c r="N116" s="9">
        <v>132.01447820085599</v>
      </c>
      <c r="O116" s="9">
        <v>123.738095238095</v>
      </c>
      <c r="P116" s="9">
        <v>98.917464317750202</v>
      </c>
      <c r="Q116" s="9">
        <v>94.038690476190496</v>
      </c>
      <c r="R116" s="9">
        <v>0</v>
      </c>
      <c r="S116" s="9">
        <v>0</v>
      </c>
      <c r="T116" s="9">
        <v>0</v>
      </c>
      <c r="U116" s="9">
        <v>0</v>
      </c>
      <c r="V116" s="9">
        <v>1.35715328467153</v>
      </c>
      <c r="W116" s="9">
        <v>2.6575806896551701</v>
      </c>
      <c r="X116" s="9">
        <v>7.8666104433497503</v>
      </c>
      <c r="Y116" s="9">
        <v>0</v>
      </c>
      <c r="Z116" s="9">
        <v>0</v>
      </c>
      <c r="AA116" s="9">
        <v>0</v>
      </c>
      <c r="AB116" s="9">
        <v>0</v>
      </c>
      <c r="AC116" s="9">
        <v>0</v>
      </c>
      <c r="AD116" s="9">
        <v>0</v>
      </c>
      <c r="AE116" s="9">
        <v>0</v>
      </c>
      <c r="AF116" s="9">
        <v>0</v>
      </c>
      <c r="AG116" s="9">
        <v>0</v>
      </c>
      <c r="AH116" s="9">
        <v>0</v>
      </c>
      <c r="AI116" s="9">
        <v>0</v>
      </c>
      <c r="AJ116" s="9">
        <v>0</v>
      </c>
      <c r="AK116" s="9">
        <v>0</v>
      </c>
      <c r="AL116" s="9">
        <v>0</v>
      </c>
      <c r="AM116" s="9">
        <v>0</v>
      </c>
      <c r="AN116" s="9">
        <v>0</v>
      </c>
      <c r="AO116" s="9">
        <v>0</v>
      </c>
      <c r="AP116" s="9">
        <v>0</v>
      </c>
      <c r="AQ116" s="9">
        <v>2.5842352941176499</v>
      </c>
      <c r="AR116" s="9">
        <v>9.6005490196078398</v>
      </c>
      <c r="AS116" s="9">
        <v>11.475725490196099</v>
      </c>
      <c r="AT116" s="9">
        <v>9.4117647058823497</v>
      </c>
      <c r="AU116" s="9">
        <v>7.4607843137254903</v>
      </c>
      <c r="AV116" s="9">
        <v>6.3921568627451002</v>
      </c>
      <c r="AW116" s="9">
        <v>1.1176470588235301</v>
      </c>
      <c r="AX116" s="9">
        <f t="shared" si="33"/>
        <v>1507.5361179355557</v>
      </c>
      <c r="AY116" s="9">
        <f t="shared" si="34"/>
        <v>355.94028577010511</v>
      </c>
      <c r="AZ116" s="9">
        <f t="shared" si="35"/>
        <v>509.22104687133185</v>
      </c>
      <c r="BA116" s="9">
        <f t="shared" si="36"/>
        <v>723.68498282892915</v>
      </c>
      <c r="BB116" s="9">
        <f t="shared" si="37"/>
        <v>783.85113510662654</v>
      </c>
      <c r="BC116" s="20"/>
      <c r="BD116" s="9">
        <v>833</v>
      </c>
      <c r="BF116" s="9">
        <v>694</v>
      </c>
      <c r="BH116" s="9">
        <v>155</v>
      </c>
      <c r="BI116" s="9">
        <f t="shared" si="38"/>
        <v>155</v>
      </c>
      <c r="BJ116" s="9">
        <f t="shared" si="55"/>
        <v>1375.8244765853738</v>
      </c>
      <c r="BK116" s="12">
        <f t="shared" si="50"/>
        <v>155</v>
      </c>
      <c r="BP116" s="9">
        <v>217</v>
      </c>
      <c r="BQ116" s="9">
        <f t="shared" si="39"/>
        <v>217</v>
      </c>
      <c r="BR116" s="12">
        <f t="shared" si="40"/>
        <v>1375.8244765853738</v>
      </c>
      <c r="BS116" s="23">
        <f t="shared" si="51"/>
        <v>217</v>
      </c>
      <c r="BU116" s="9">
        <v>0</v>
      </c>
      <c r="BW116" s="9">
        <v>22</v>
      </c>
      <c r="BX116" s="9">
        <v>92</v>
      </c>
      <c r="BY116" s="9">
        <v>121</v>
      </c>
      <c r="BZ116" s="9">
        <v>109</v>
      </c>
      <c r="CA116" s="9">
        <v>103</v>
      </c>
      <c r="CB116" s="9">
        <v>95</v>
      </c>
      <c r="CC116" s="9">
        <v>113</v>
      </c>
      <c r="CD116" s="9">
        <v>133</v>
      </c>
      <c r="CE116" s="9">
        <v>136</v>
      </c>
      <c r="CF116" s="9">
        <v>132</v>
      </c>
      <c r="CG116" s="9">
        <v>138</v>
      </c>
      <c r="CH116" s="9">
        <v>142</v>
      </c>
      <c r="CI116" s="9">
        <v>134</v>
      </c>
      <c r="CJ116" s="9">
        <v>109</v>
      </c>
      <c r="CK116" s="12">
        <f t="shared" si="52"/>
        <v>1511</v>
      </c>
      <c r="CL116" s="9">
        <f t="shared" si="41"/>
        <v>379</v>
      </c>
      <c r="CM116" s="9">
        <f t="shared" si="42"/>
        <v>523</v>
      </c>
      <c r="CN116" s="9">
        <f t="shared" si="43"/>
        <v>720</v>
      </c>
      <c r="CO116" s="9">
        <f t="shared" si="54"/>
        <v>791</v>
      </c>
      <c r="CQ116" s="9">
        <f t="shared" si="44"/>
        <v>766</v>
      </c>
      <c r="CR116" s="9">
        <f t="shared" si="45"/>
        <v>791</v>
      </c>
    </row>
    <row r="117" spans="1:96" ht="29.25">
      <c r="A117" t="str">
        <f t="shared" si="28"/>
        <v>432</v>
      </c>
      <c r="B117">
        <f t="shared" si="32"/>
        <v>432</v>
      </c>
      <c r="C117" s="15" t="s">
        <v>125</v>
      </c>
      <c r="D117" s="11"/>
      <c r="E117" s="9">
        <f>SUM(7.4448275862069*0.5)</f>
        <v>3.72241379310345</v>
      </c>
      <c r="F117" s="9">
        <v>7.4310344827586201</v>
      </c>
      <c r="G117" s="9">
        <v>11.2896551724138</v>
      </c>
      <c r="H117" s="9">
        <v>10.744827586206901</v>
      </c>
      <c r="I117" s="9">
        <v>12.796551724137901</v>
      </c>
      <c r="J117" s="9">
        <v>11.2655172413793</v>
      </c>
      <c r="K117" s="9">
        <v>6.92068965517241</v>
      </c>
      <c r="L117" s="9">
        <v>8.7965517241379292</v>
      </c>
      <c r="M117" s="9">
        <v>0</v>
      </c>
      <c r="N117" s="9">
        <v>13.2896551724138</v>
      </c>
      <c r="O117" s="9">
        <v>10.199999999999999</v>
      </c>
      <c r="P117" s="9">
        <v>9.8827586206896605</v>
      </c>
      <c r="Q117" s="9">
        <v>9.8482758620689594</v>
      </c>
      <c r="R117" s="9">
        <v>0</v>
      </c>
      <c r="S117" s="9">
        <v>0</v>
      </c>
      <c r="T117" s="9">
        <v>0</v>
      </c>
      <c r="U117" s="9">
        <v>0</v>
      </c>
      <c r="V117" s="9">
        <v>0</v>
      </c>
      <c r="W117" s="9">
        <v>0</v>
      </c>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9">
        <v>0</v>
      </c>
      <c r="AO117" s="9">
        <v>0</v>
      </c>
      <c r="AP117" s="9">
        <v>0</v>
      </c>
      <c r="AQ117" s="9">
        <v>0</v>
      </c>
      <c r="AR117" s="9">
        <v>0</v>
      </c>
      <c r="AS117" s="9">
        <v>0</v>
      </c>
      <c r="AT117" s="9">
        <v>0</v>
      </c>
      <c r="AU117" s="9">
        <v>0</v>
      </c>
      <c r="AV117" s="9">
        <v>0</v>
      </c>
      <c r="AW117" s="9">
        <v>0</v>
      </c>
      <c r="AX117" s="9">
        <f t="shared" si="33"/>
        <v>121.99732758620688</v>
      </c>
      <c r="AY117" s="9">
        <f t="shared" si="34"/>
        <v>34.847327586206916</v>
      </c>
      <c r="AZ117" s="9">
        <f t="shared" si="35"/>
        <v>45.381724137931045</v>
      </c>
      <c r="BA117" s="9">
        <f t="shared" si="36"/>
        <v>67.379224137931004</v>
      </c>
      <c r="BB117" s="9">
        <f t="shared" si="37"/>
        <v>54.618103448275868</v>
      </c>
      <c r="BC117" s="20"/>
      <c r="BD117" s="9">
        <v>65</v>
      </c>
      <c r="BF117" s="153">
        <v>49.88</v>
      </c>
      <c r="BH117" s="9">
        <v>24</v>
      </c>
      <c r="BI117" s="9">
        <f t="shared" si="38"/>
        <v>24</v>
      </c>
      <c r="BJ117" s="9">
        <f t="shared" si="55"/>
        <v>116.18793103448273</v>
      </c>
      <c r="BK117" s="12">
        <f t="shared" si="50"/>
        <v>24</v>
      </c>
      <c r="BP117" s="9">
        <v>0</v>
      </c>
      <c r="BQ117" s="9">
        <f t="shared" si="39"/>
        <v>0</v>
      </c>
      <c r="BR117" s="12">
        <f t="shared" si="40"/>
        <v>116.18793103448273</v>
      </c>
      <c r="BS117" s="23">
        <f t="shared" si="51"/>
        <v>0</v>
      </c>
      <c r="BU117" s="9">
        <v>0</v>
      </c>
      <c r="BW117" s="9">
        <v>14</v>
      </c>
      <c r="BX117" s="9">
        <v>4</v>
      </c>
      <c r="BY117" s="9">
        <v>9</v>
      </c>
      <c r="BZ117" s="9">
        <v>7</v>
      </c>
      <c r="CA117" s="9">
        <v>11</v>
      </c>
      <c r="CB117" s="9">
        <v>11</v>
      </c>
      <c r="CC117" s="9">
        <v>12</v>
      </c>
      <c r="CD117" s="9">
        <v>11</v>
      </c>
      <c r="CE117" s="9">
        <v>9</v>
      </c>
      <c r="CF117" s="9">
        <v>9</v>
      </c>
      <c r="CG117" s="9">
        <v>1</v>
      </c>
      <c r="CH117" s="9">
        <v>12</v>
      </c>
      <c r="CI117" s="9">
        <v>9</v>
      </c>
      <c r="CJ117" s="9">
        <v>11</v>
      </c>
      <c r="CK117" s="12">
        <f t="shared" si="52"/>
        <v>114</v>
      </c>
      <c r="CL117" s="9">
        <f t="shared" si="41"/>
        <v>29</v>
      </c>
      <c r="CM117" s="9">
        <f t="shared" si="42"/>
        <v>33</v>
      </c>
      <c r="CN117" s="9">
        <f t="shared" si="43"/>
        <v>63</v>
      </c>
      <c r="CO117" s="9">
        <f t="shared" si="54"/>
        <v>100</v>
      </c>
      <c r="CQ117" s="9">
        <f t="shared" si="44"/>
        <v>65</v>
      </c>
      <c r="CR117" s="9">
        <f t="shared" si="45"/>
        <v>51</v>
      </c>
    </row>
    <row r="118" spans="1:96" ht="29.25">
      <c r="A118" t="str">
        <f t="shared" si="28"/>
        <v>433</v>
      </c>
      <c r="B118">
        <f t="shared" si="32"/>
        <v>433</v>
      </c>
      <c r="C118" s="15" t="s">
        <v>126</v>
      </c>
      <c r="D118" s="11"/>
      <c r="E118" s="9">
        <f>SUM(7.91803825578077*0.5)</f>
        <v>3.959019127890385</v>
      </c>
      <c r="F118" s="9">
        <v>4.5035460992907801</v>
      </c>
      <c r="G118" s="9">
        <v>4.0531914893616996</v>
      </c>
      <c r="H118" s="9">
        <v>8.9219858156028398</v>
      </c>
      <c r="I118" s="9">
        <v>7.7021276595744697</v>
      </c>
      <c r="J118" s="9">
        <v>6.9078014184397203</v>
      </c>
      <c r="K118" s="9">
        <v>5.13986013986014</v>
      </c>
      <c r="L118" s="9">
        <v>6.4440559440559397</v>
      </c>
      <c r="M118" s="9">
        <v>8.8146853146853203</v>
      </c>
      <c r="N118" s="9">
        <v>6.6118881118881099</v>
      </c>
      <c r="O118" s="9">
        <v>6.06993006993007</v>
      </c>
      <c r="P118" s="9">
        <v>5.3356643356643403</v>
      </c>
      <c r="Q118" s="9">
        <v>10.391608391608401</v>
      </c>
      <c r="R118" s="9">
        <v>0</v>
      </c>
      <c r="S118" s="9">
        <v>0.92085137614678902</v>
      </c>
      <c r="T118" s="9">
        <v>0.969062937062937</v>
      </c>
      <c r="U118" s="9">
        <v>2.2983496503496501</v>
      </c>
      <c r="V118" s="9">
        <v>3.3682013986013999</v>
      </c>
      <c r="W118" s="9">
        <v>2.6022937062937102</v>
      </c>
      <c r="X118" s="9">
        <v>3.1191272727272699</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9">
        <v>0</v>
      </c>
      <c r="AO118" s="9">
        <v>0</v>
      </c>
      <c r="AP118" s="9">
        <v>0</v>
      </c>
      <c r="AQ118" s="9">
        <v>0</v>
      </c>
      <c r="AR118" s="9">
        <v>0</v>
      </c>
      <c r="AS118" s="9">
        <v>0</v>
      </c>
      <c r="AT118" s="9">
        <v>0</v>
      </c>
      <c r="AU118" s="9">
        <v>0</v>
      </c>
      <c r="AV118" s="9">
        <v>0</v>
      </c>
      <c r="AW118" s="9">
        <v>0</v>
      </c>
      <c r="AX118" s="9">
        <f t="shared" si="33"/>
        <v>103.03991277198566</v>
      </c>
      <c r="AY118" s="9">
        <f t="shared" si="34"/>
        <v>22.509629658752992</v>
      </c>
      <c r="AZ118" s="9">
        <f t="shared" si="35"/>
        <v>41.786916083916097</v>
      </c>
      <c r="BA118" s="9">
        <f t="shared" si="36"/>
        <v>43.246908337521042</v>
      </c>
      <c r="BB118" s="9">
        <f t="shared" si="37"/>
        <v>59.793004434464635</v>
      </c>
      <c r="BC118" s="20"/>
      <c r="BD118" s="9">
        <v>66</v>
      </c>
      <c r="BF118" s="153">
        <v>49.45</v>
      </c>
      <c r="BH118" s="9">
        <v>13</v>
      </c>
      <c r="BI118" s="9">
        <f t="shared" si="38"/>
        <v>13</v>
      </c>
      <c r="BJ118" s="9">
        <f t="shared" si="55"/>
        <v>84.855363917852202</v>
      </c>
      <c r="BK118" s="12">
        <f t="shared" si="50"/>
        <v>13</v>
      </c>
      <c r="BP118" s="9">
        <v>0</v>
      </c>
      <c r="BQ118" s="9">
        <f t="shared" si="39"/>
        <v>0</v>
      </c>
      <c r="BR118" s="12">
        <f t="shared" si="40"/>
        <v>84.855363917852202</v>
      </c>
      <c r="BS118" s="23">
        <f t="shared" si="51"/>
        <v>0</v>
      </c>
      <c r="BU118" s="9">
        <v>8</v>
      </c>
      <c r="BW118" s="9">
        <v>12</v>
      </c>
      <c r="BX118" s="9">
        <v>8</v>
      </c>
      <c r="BY118" s="9">
        <v>6</v>
      </c>
      <c r="BZ118" s="9">
        <v>6</v>
      </c>
      <c r="CA118" s="9">
        <v>4</v>
      </c>
      <c r="CB118" s="9">
        <v>13</v>
      </c>
      <c r="CC118" s="9">
        <v>10</v>
      </c>
      <c r="CD118" s="9">
        <v>10</v>
      </c>
      <c r="CE118" s="9">
        <v>10</v>
      </c>
      <c r="CF118" s="9">
        <v>8</v>
      </c>
      <c r="CG118" s="9">
        <v>13</v>
      </c>
      <c r="CH118" s="9">
        <v>10</v>
      </c>
      <c r="CI118" s="9">
        <v>9</v>
      </c>
      <c r="CJ118" s="9">
        <v>8</v>
      </c>
      <c r="CK118" s="12">
        <f t="shared" si="52"/>
        <v>111</v>
      </c>
      <c r="CL118" s="9">
        <f t="shared" si="41"/>
        <v>20</v>
      </c>
      <c r="CM118" s="9">
        <f t="shared" si="42"/>
        <v>40</v>
      </c>
      <c r="CN118" s="9">
        <f t="shared" si="43"/>
        <v>53</v>
      </c>
      <c r="CO118" s="9">
        <f t="shared" si="54"/>
        <v>100</v>
      </c>
      <c r="CQ118" s="9">
        <f t="shared" si="44"/>
        <v>57</v>
      </c>
      <c r="CR118" s="9">
        <f t="shared" si="45"/>
        <v>58</v>
      </c>
    </row>
    <row r="119" spans="1:96" ht="29.25">
      <c r="A119" t="str">
        <f t="shared" si="28"/>
        <v>451</v>
      </c>
      <c r="B119">
        <f t="shared" si="32"/>
        <v>451</v>
      </c>
      <c r="C119" s="15" t="s">
        <v>127</v>
      </c>
      <c r="D119" s="11"/>
      <c r="E119" s="9">
        <f>SUM(23*0.5)</f>
        <v>11.5</v>
      </c>
      <c r="F119" s="9">
        <v>27.026315789473699</v>
      </c>
      <c r="G119" s="9">
        <v>29.245614035087701</v>
      </c>
      <c r="H119" s="9">
        <v>29.1812865497076</v>
      </c>
      <c r="I119" s="9">
        <v>29.184210526315798</v>
      </c>
      <c r="J119" s="9">
        <v>32.2368421052632</v>
      </c>
      <c r="K119" s="9">
        <v>32.087719298245602</v>
      </c>
      <c r="L119" s="9">
        <v>29.251461988304101</v>
      </c>
      <c r="M119" s="9">
        <v>30.456140350877199</v>
      </c>
      <c r="N119" s="9">
        <v>34.883040935672497</v>
      </c>
      <c r="O119" s="9">
        <v>31.160818713450301</v>
      </c>
      <c r="P119" s="9">
        <v>31.304093567251499</v>
      </c>
      <c r="Q119" s="9">
        <v>30.083832335329301</v>
      </c>
      <c r="R119" s="9">
        <v>0</v>
      </c>
      <c r="S119" s="9">
        <v>0</v>
      </c>
      <c r="T119" s="9">
        <v>0</v>
      </c>
      <c r="U119" s="9">
        <v>0</v>
      </c>
      <c r="V119" s="9">
        <v>0</v>
      </c>
      <c r="W119" s="9">
        <v>0</v>
      </c>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9">
        <v>0</v>
      </c>
      <c r="AO119" s="9">
        <v>0</v>
      </c>
      <c r="AP119" s="9">
        <v>0</v>
      </c>
      <c r="AQ119" s="9">
        <v>0</v>
      </c>
      <c r="AR119" s="9">
        <v>0</v>
      </c>
      <c r="AS119" s="9">
        <v>0</v>
      </c>
      <c r="AT119" s="9">
        <v>0</v>
      </c>
      <c r="AU119" s="9">
        <v>0</v>
      </c>
      <c r="AV119" s="9">
        <v>0</v>
      </c>
      <c r="AW119" s="9">
        <v>0</v>
      </c>
      <c r="AX119" s="9">
        <f t="shared" si="33"/>
        <v>396.48144500472745</v>
      </c>
      <c r="AY119" s="9">
        <f t="shared" si="34"/>
        <v>101.80087719298245</v>
      </c>
      <c r="AZ119" s="9">
        <f t="shared" si="35"/>
        <v>133.80337482928877</v>
      </c>
      <c r="BA119" s="9">
        <f t="shared" si="36"/>
        <v>199.98508771929829</v>
      </c>
      <c r="BB119" s="9">
        <f t="shared" si="37"/>
        <v>196.49635728542916</v>
      </c>
      <c r="BC119" s="20"/>
      <c r="BD119" s="9">
        <v>116</v>
      </c>
      <c r="BF119" s="9">
        <v>141</v>
      </c>
      <c r="BH119" s="9">
        <v>9</v>
      </c>
      <c r="BI119" s="9">
        <f t="shared" si="38"/>
        <v>9</v>
      </c>
      <c r="BJ119" s="9">
        <f t="shared" si="55"/>
        <v>377.60137619497851</v>
      </c>
      <c r="BK119" s="12">
        <f t="shared" si="50"/>
        <v>9</v>
      </c>
      <c r="BP119" s="9">
        <v>0</v>
      </c>
      <c r="BQ119" s="9">
        <f t="shared" si="39"/>
        <v>0</v>
      </c>
      <c r="BR119" s="12">
        <f t="shared" si="40"/>
        <v>377.60137619497851</v>
      </c>
      <c r="BS119" s="23">
        <f t="shared" si="51"/>
        <v>0</v>
      </c>
      <c r="BU119" s="9">
        <v>0</v>
      </c>
      <c r="BW119" s="9">
        <v>0</v>
      </c>
      <c r="BX119" s="9">
        <v>24</v>
      </c>
      <c r="BY119" s="9">
        <v>28</v>
      </c>
      <c r="BZ119" s="9">
        <v>29</v>
      </c>
      <c r="CA119" s="9">
        <v>30</v>
      </c>
      <c r="CB119" s="9">
        <v>29</v>
      </c>
      <c r="CC119" s="9">
        <v>33</v>
      </c>
      <c r="CD119" s="9">
        <v>31</v>
      </c>
      <c r="CE119" s="9">
        <v>31</v>
      </c>
      <c r="CF119" s="9">
        <v>30</v>
      </c>
      <c r="CG119" s="9">
        <v>40</v>
      </c>
      <c r="CH119" s="9">
        <v>35</v>
      </c>
      <c r="CI119" s="9">
        <v>31</v>
      </c>
      <c r="CJ119" s="9">
        <v>35</v>
      </c>
      <c r="CK119" s="12">
        <f t="shared" si="52"/>
        <v>394</v>
      </c>
      <c r="CL119" s="9">
        <f t="shared" si="41"/>
        <v>99</v>
      </c>
      <c r="CM119" s="9">
        <f t="shared" si="42"/>
        <v>141</v>
      </c>
      <c r="CN119" s="9">
        <f t="shared" si="43"/>
        <v>192</v>
      </c>
      <c r="CO119" s="207">
        <f t="shared" si="54"/>
        <v>202</v>
      </c>
      <c r="CQ119" s="9">
        <f t="shared" si="44"/>
        <v>204</v>
      </c>
      <c r="CR119" s="9">
        <f t="shared" si="45"/>
        <v>202</v>
      </c>
    </row>
    <row r="120" spans="1:96" ht="29.25">
      <c r="A120" t="str">
        <f t="shared" si="28"/>
        <v>452</v>
      </c>
      <c r="B120">
        <f t="shared" si="32"/>
        <v>452</v>
      </c>
      <c r="C120" s="15" t="s">
        <v>128</v>
      </c>
      <c r="D120" s="11"/>
      <c r="E120" s="9">
        <f>SUM(78.8639053254438*0.5)</f>
        <v>39.431952662721898</v>
      </c>
      <c r="F120" s="9">
        <v>69.420118343195298</v>
      </c>
      <c r="G120" s="9">
        <v>84.686390532544394</v>
      </c>
      <c r="H120" s="9">
        <v>89.958579881656803</v>
      </c>
      <c r="I120" s="9">
        <v>107.082840236686</v>
      </c>
      <c r="J120" s="9">
        <v>115.257396449704</v>
      </c>
      <c r="K120" s="9">
        <v>139.86094674556199</v>
      </c>
      <c r="L120" s="9">
        <v>159.50887573964499</v>
      </c>
      <c r="M120" s="9">
        <v>195.04437869822499</v>
      </c>
      <c r="N120" s="9">
        <v>169.78402366863901</v>
      </c>
      <c r="O120" s="9">
        <v>141.65384615384599</v>
      </c>
      <c r="P120" s="9">
        <v>160.973372781065</v>
      </c>
      <c r="Q120" s="9">
        <v>146.50887573964499</v>
      </c>
      <c r="R120" s="9">
        <v>0</v>
      </c>
      <c r="S120" s="9">
        <v>0</v>
      </c>
      <c r="T120" s="9">
        <v>0</v>
      </c>
      <c r="U120" s="9">
        <v>17.6757946245983</v>
      </c>
      <c r="V120" s="9">
        <v>35.472935533628899</v>
      </c>
      <c r="W120" s="9">
        <v>55.498730751765898</v>
      </c>
      <c r="X120" s="9">
        <v>67.368926192373493</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9">
        <v>0</v>
      </c>
      <c r="AO120" s="9">
        <v>0</v>
      </c>
      <c r="AP120" s="9">
        <v>0</v>
      </c>
      <c r="AQ120" s="9">
        <v>0</v>
      </c>
      <c r="AR120" s="9">
        <v>0</v>
      </c>
      <c r="AS120" s="9">
        <v>0</v>
      </c>
      <c r="AT120" s="9">
        <v>0</v>
      </c>
      <c r="AU120" s="9">
        <v>4.0784313725490202</v>
      </c>
      <c r="AV120" s="9">
        <v>12.3764705882353</v>
      </c>
      <c r="AW120" s="9">
        <v>26.807843137254899</v>
      </c>
      <c r="AX120" s="9">
        <f t="shared" si="33"/>
        <v>1930.3732663252183</v>
      </c>
      <c r="AY120" s="9">
        <f t="shared" si="34"/>
        <v>297.67189349112437</v>
      </c>
      <c r="AZ120" s="9">
        <f t="shared" si="35"/>
        <v>880.10921307078081</v>
      </c>
      <c r="BA120" s="9">
        <f t="shared" si="36"/>
        <v>677.98313609467402</v>
      </c>
      <c r="BB120" s="9">
        <f t="shared" si="37"/>
        <v>1252.3901302305442</v>
      </c>
      <c r="BC120" s="20"/>
      <c r="BD120" s="9">
        <v>1056</v>
      </c>
      <c r="BF120" s="9">
        <v>973</v>
      </c>
      <c r="BH120" s="9">
        <v>253</v>
      </c>
      <c r="BI120" s="9">
        <f t="shared" si="38"/>
        <v>253</v>
      </c>
      <c r="BJ120" s="9">
        <f t="shared" si="55"/>
        <v>1619.1715976331354</v>
      </c>
      <c r="BK120" s="12">
        <f t="shared" si="50"/>
        <v>253</v>
      </c>
      <c r="BP120" s="9">
        <v>6</v>
      </c>
      <c r="BQ120" s="9">
        <f t="shared" si="39"/>
        <v>6</v>
      </c>
      <c r="BR120" s="12">
        <f t="shared" si="40"/>
        <v>1619.1715976331354</v>
      </c>
      <c r="BS120" s="23">
        <f t="shared" si="51"/>
        <v>6</v>
      </c>
      <c r="BU120" s="9">
        <v>101</v>
      </c>
      <c r="BW120" s="9">
        <v>0</v>
      </c>
      <c r="BX120" s="9">
        <v>85</v>
      </c>
      <c r="BY120" s="9">
        <v>70</v>
      </c>
      <c r="BZ120" s="9">
        <v>65</v>
      </c>
      <c r="CA120" s="9">
        <v>89</v>
      </c>
      <c r="CB120" s="9">
        <v>87</v>
      </c>
      <c r="CC120" s="9">
        <v>120</v>
      </c>
      <c r="CD120" s="9">
        <v>136</v>
      </c>
      <c r="CE120" s="9">
        <v>179</v>
      </c>
      <c r="CF120" s="9">
        <v>232</v>
      </c>
      <c r="CG120" s="9">
        <v>135</v>
      </c>
      <c r="CH120" s="9">
        <v>212</v>
      </c>
      <c r="CI120" s="9">
        <v>190</v>
      </c>
      <c r="CJ120" s="9">
        <v>194</v>
      </c>
      <c r="CK120" s="12">
        <f t="shared" si="52"/>
        <v>1751.5</v>
      </c>
      <c r="CL120" s="9">
        <f t="shared" si="41"/>
        <v>266.5</v>
      </c>
      <c r="CM120" s="9">
        <f t="shared" si="42"/>
        <v>731</v>
      </c>
      <c r="CN120" s="9">
        <f t="shared" si="43"/>
        <v>609.5</v>
      </c>
      <c r="CO120" s="207">
        <f t="shared" si="54"/>
        <v>1142</v>
      </c>
      <c r="CQ120" s="9">
        <f t="shared" si="44"/>
        <v>652</v>
      </c>
      <c r="CR120" s="9">
        <f t="shared" si="45"/>
        <v>1142</v>
      </c>
    </row>
    <row r="121" spans="1:96" ht="29.25">
      <c r="A121" t="str">
        <f t="shared" si="28"/>
        <v>453</v>
      </c>
      <c r="B121">
        <f t="shared" si="32"/>
        <v>453</v>
      </c>
      <c r="C121" s="15" t="s">
        <v>129</v>
      </c>
      <c r="D121" s="11"/>
      <c r="E121" s="9">
        <f>SUM(22.7657142857143*0.5)</f>
        <v>11.38285714285715</v>
      </c>
      <c r="F121" s="9">
        <v>22.7</v>
      </c>
      <c r="G121" s="9">
        <v>22.834285714285699</v>
      </c>
      <c r="H121" s="9">
        <v>0</v>
      </c>
      <c r="I121" s="9">
        <v>0</v>
      </c>
      <c r="J121" s="9">
        <v>0</v>
      </c>
      <c r="K121" s="9">
        <v>0</v>
      </c>
      <c r="L121" s="9">
        <v>0</v>
      </c>
      <c r="M121" s="9">
        <v>0</v>
      </c>
      <c r="N121" s="9">
        <v>13.8375440875162</v>
      </c>
      <c r="O121" s="9">
        <v>32.935583935948102</v>
      </c>
      <c r="P121" s="9">
        <v>37.0326066369608</v>
      </c>
      <c r="Q121" s="9">
        <v>31.422731362107498</v>
      </c>
      <c r="R121" s="9">
        <v>0</v>
      </c>
      <c r="S121" s="9">
        <v>0</v>
      </c>
      <c r="T121" s="9">
        <v>0</v>
      </c>
      <c r="U121" s="9">
        <v>21.143784609614901</v>
      </c>
      <c r="V121" s="9">
        <v>37.007719401191999</v>
      </c>
      <c r="W121" s="9">
        <v>57.996114123813399</v>
      </c>
      <c r="X121" s="9">
        <v>94.089344039756497</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9">
        <v>0</v>
      </c>
      <c r="AO121" s="9">
        <v>0</v>
      </c>
      <c r="AP121" s="9">
        <v>0</v>
      </c>
      <c r="AQ121" s="9">
        <v>0</v>
      </c>
      <c r="AR121" s="9">
        <v>0</v>
      </c>
      <c r="AS121" s="9">
        <v>0</v>
      </c>
      <c r="AT121" s="9">
        <v>37.435294117647103</v>
      </c>
      <c r="AU121" s="9">
        <v>16.345098039215699</v>
      </c>
      <c r="AV121" s="9">
        <v>34.380392156862698</v>
      </c>
      <c r="AW121" s="9">
        <v>74.901960784313701</v>
      </c>
      <c r="AX121" s="9">
        <f t="shared" si="33"/>
        <v>572.71758195969608</v>
      </c>
      <c r="AY121" s="9">
        <f t="shared" si="34"/>
        <v>59.762999999999991</v>
      </c>
      <c r="AZ121" s="9">
        <f t="shared" si="35"/>
        <v>512.95458195969604</v>
      </c>
      <c r="BA121" s="9">
        <f t="shared" si="36"/>
        <v>59.762999999999991</v>
      </c>
      <c r="BB121" s="9">
        <f t="shared" si="37"/>
        <v>512.95458195969604</v>
      </c>
      <c r="BC121" s="20"/>
      <c r="BD121" s="153">
        <v>203.1</v>
      </c>
      <c r="BF121" s="9">
        <v>106</v>
      </c>
      <c r="BH121" s="9">
        <v>13</v>
      </c>
      <c r="BI121" s="9">
        <f t="shared" si="38"/>
        <v>13</v>
      </c>
      <c r="BJ121" s="9">
        <f t="shared" si="55"/>
        <v>172.14560887967545</v>
      </c>
      <c r="BK121" s="12">
        <f t="shared" si="50"/>
        <v>13</v>
      </c>
      <c r="BP121" s="9">
        <v>0</v>
      </c>
      <c r="BQ121" s="9">
        <f t="shared" si="39"/>
        <v>0</v>
      </c>
      <c r="BR121" s="12">
        <f t="shared" si="40"/>
        <v>172.14560887967545</v>
      </c>
      <c r="BS121" s="23">
        <f t="shared" si="51"/>
        <v>0</v>
      </c>
      <c r="BU121" s="9">
        <v>0</v>
      </c>
      <c r="BW121" s="9">
        <v>0</v>
      </c>
      <c r="BX121" s="9">
        <v>23</v>
      </c>
      <c r="BY121" s="9">
        <v>24</v>
      </c>
      <c r="BZ121" s="9">
        <v>24</v>
      </c>
      <c r="CA121" s="9">
        <v>24</v>
      </c>
      <c r="CB121" s="9">
        <v>0</v>
      </c>
      <c r="CC121" s="9">
        <v>0</v>
      </c>
      <c r="CD121" s="9">
        <v>0</v>
      </c>
      <c r="CE121" s="9">
        <v>0</v>
      </c>
      <c r="CF121" s="9">
        <v>0</v>
      </c>
      <c r="CG121" s="9">
        <v>23</v>
      </c>
      <c r="CH121" s="9">
        <v>59</v>
      </c>
      <c r="CI121" s="9">
        <v>101</v>
      </c>
      <c r="CJ121" s="9">
        <v>180</v>
      </c>
      <c r="CK121" s="12">
        <f t="shared" si="52"/>
        <v>446.5</v>
      </c>
      <c r="CL121" s="9">
        <f t="shared" si="41"/>
        <v>83.5</v>
      </c>
      <c r="CM121" s="9">
        <f t="shared" si="42"/>
        <v>363</v>
      </c>
      <c r="CN121" s="9">
        <f t="shared" si="43"/>
        <v>83.5</v>
      </c>
      <c r="CO121" s="207">
        <f t="shared" si="48"/>
        <v>363</v>
      </c>
      <c r="CQ121" s="9">
        <f t="shared" si="44"/>
        <v>95</v>
      </c>
      <c r="CR121" s="9">
        <f t="shared" si="45"/>
        <v>363</v>
      </c>
    </row>
    <row r="122" spans="1:96" ht="29.25">
      <c r="A122" t="str">
        <f t="shared" si="28"/>
        <v>454</v>
      </c>
      <c r="B122">
        <f t="shared" si="32"/>
        <v>454</v>
      </c>
      <c r="C122" s="15" t="s">
        <v>130</v>
      </c>
      <c r="D122" s="11"/>
      <c r="E122" s="9">
        <f>SUM(22.4820359281437*0.5)</f>
        <v>11.241017964071849</v>
      </c>
      <c r="F122" s="9">
        <v>25.829341317365301</v>
      </c>
      <c r="G122" s="9">
        <v>27.919161676646699</v>
      </c>
      <c r="H122" s="9">
        <v>29.826347305389199</v>
      </c>
      <c r="I122" s="9">
        <v>30.461077844311401</v>
      </c>
      <c r="J122" s="9">
        <v>28.2814371257485</v>
      </c>
      <c r="K122" s="9">
        <v>28.790419161676599</v>
      </c>
      <c r="L122" s="9">
        <v>26.197604790419199</v>
      </c>
      <c r="M122" s="9">
        <v>27.688622754491</v>
      </c>
      <c r="N122" s="9">
        <v>0</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9">
        <v>0</v>
      </c>
      <c r="AO122" s="9">
        <v>0</v>
      </c>
      <c r="AP122" s="9">
        <v>0</v>
      </c>
      <c r="AQ122" s="9">
        <v>0</v>
      </c>
      <c r="AR122" s="9">
        <v>0</v>
      </c>
      <c r="AS122" s="9">
        <v>0</v>
      </c>
      <c r="AT122" s="9">
        <v>0</v>
      </c>
      <c r="AU122" s="9">
        <v>0</v>
      </c>
      <c r="AV122" s="9">
        <v>0</v>
      </c>
      <c r="AW122" s="9">
        <v>0</v>
      </c>
      <c r="AX122" s="9">
        <f t="shared" si="33"/>
        <v>248.04678143712576</v>
      </c>
      <c r="AY122" s="9">
        <f t="shared" si="34"/>
        <v>99.556661676646712</v>
      </c>
      <c r="AZ122" s="9">
        <f t="shared" si="35"/>
        <v>0</v>
      </c>
      <c r="BA122" s="9">
        <f t="shared" si="36"/>
        <v>191.46624251497005</v>
      </c>
      <c r="BB122" s="9">
        <f t="shared" si="37"/>
        <v>56.580538922155711</v>
      </c>
      <c r="BC122" s="20"/>
      <c r="BD122" s="9">
        <v>79</v>
      </c>
      <c r="BF122" s="9">
        <v>66</v>
      </c>
      <c r="BH122" s="9">
        <v>32</v>
      </c>
      <c r="BI122" s="9">
        <f t="shared" si="38"/>
        <v>32</v>
      </c>
      <c r="BJ122" s="9">
        <f t="shared" si="55"/>
        <v>236.23502994011977</v>
      </c>
      <c r="BK122" s="12">
        <f t="shared" si="50"/>
        <v>32</v>
      </c>
      <c r="BP122" s="9">
        <v>7</v>
      </c>
      <c r="BQ122" s="9">
        <f t="shared" si="39"/>
        <v>7</v>
      </c>
      <c r="BR122" s="12">
        <f t="shared" si="40"/>
        <v>236.23502994011977</v>
      </c>
      <c r="BS122" s="23">
        <f t="shared" si="51"/>
        <v>7</v>
      </c>
      <c r="BU122" s="9">
        <v>0</v>
      </c>
      <c r="BW122" s="9">
        <v>0</v>
      </c>
      <c r="BX122" s="9">
        <v>23</v>
      </c>
      <c r="BY122" s="9">
        <v>25</v>
      </c>
      <c r="BZ122" s="9">
        <v>25</v>
      </c>
      <c r="CA122" s="9">
        <v>30</v>
      </c>
      <c r="CB122" s="9">
        <v>32</v>
      </c>
      <c r="CC122" s="9">
        <v>32</v>
      </c>
      <c r="CD122" s="9">
        <v>27</v>
      </c>
      <c r="CE122" s="9">
        <v>27</v>
      </c>
      <c r="CF122" s="9">
        <v>25</v>
      </c>
      <c r="CG122" s="9">
        <v>0</v>
      </c>
      <c r="CH122" s="9">
        <v>0</v>
      </c>
      <c r="CI122" s="9">
        <v>0</v>
      </c>
      <c r="CJ122" s="9">
        <v>0</v>
      </c>
      <c r="CK122" s="12">
        <f t="shared" si="52"/>
        <v>234.5</v>
      </c>
      <c r="CL122" s="9">
        <f t="shared" si="41"/>
        <v>91.5</v>
      </c>
      <c r="CM122" s="9">
        <f t="shared" si="42"/>
        <v>0</v>
      </c>
      <c r="CN122" s="9">
        <f t="shared" si="43"/>
        <v>182.5</v>
      </c>
      <c r="CO122" s="207">
        <f t="shared" si="48"/>
        <v>52</v>
      </c>
      <c r="CQ122" s="9">
        <f t="shared" si="44"/>
        <v>194</v>
      </c>
      <c r="CR122" s="9">
        <f t="shared" si="45"/>
        <v>52</v>
      </c>
    </row>
    <row r="123" spans="1:96" ht="29.25">
      <c r="A123" t="str">
        <f t="shared" si="28"/>
        <v>455</v>
      </c>
      <c r="B123">
        <f t="shared" si="32"/>
        <v>455</v>
      </c>
      <c r="C123" s="15" t="s">
        <v>131</v>
      </c>
      <c r="D123" s="11"/>
      <c r="E123" s="9">
        <f>SUM(66.1736526946108*0.5)</f>
        <v>33.086826347305397</v>
      </c>
      <c r="F123" s="9">
        <v>69.107142857142904</v>
      </c>
      <c r="G123" s="9">
        <v>74.136904761904802</v>
      </c>
      <c r="H123" s="9">
        <v>74.630952380952394</v>
      </c>
      <c r="I123" s="9">
        <v>80.744047619047606</v>
      </c>
      <c r="J123" s="9">
        <v>80.0833333333333</v>
      </c>
      <c r="K123" s="9">
        <v>86.0625</v>
      </c>
      <c r="L123" s="9">
        <v>86.985119047619094</v>
      </c>
      <c r="M123" s="9">
        <v>85.172619047619094</v>
      </c>
      <c r="N123" s="9">
        <v>62.991071428571402</v>
      </c>
      <c r="O123" s="9">
        <v>41.803571428571402</v>
      </c>
      <c r="P123" s="9">
        <v>45.613095238095198</v>
      </c>
      <c r="Q123" s="9">
        <v>20.282738095238098</v>
      </c>
      <c r="R123" s="9">
        <v>0</v>
      </c>
      <c r="S123" s="9">
        <v>0</v>
      </c>
      <c r="T123" s="9">
        <v>0</v>
      </c>
      <c r="U123" s="9">
        <v>0</v>
      </c>
      <c r="V123" s="9">
        <v>0</v>
      </c>
      <c r="W123" s="9">
        <v>0</v>
      </c>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9">
        <v>0</v>
      </c>
      <c r="AO123" s="9">
        <v>0</v>
      </c>
      <c r="AP123" s="9">
        <v>0</v>
      </c>
      <c r="AQ123" s="9">
        <v>0</v>
      </c>
      <c r="AR123" s="9">
        <v>0</v>
      </c>
      <c r="AS123" s="9">
        <v>0</v>
      </c>
      <c r="AT123" s="9">
        <v>0</v>
      </c>
      <c r="AU123" s="9">
        <v>0</v>
      </c>
      <c r="AV123" s="9">
        <v>0</v>
      </c>
      <c r="AW123" s="9">
        <v>0</v>
      </c>
      <c r="AX123" s="9">
        <f t="shared" si="33"/>
        <v>882.73491766467077</v>
      </c>
      <c r="AY123" s="9">
        <f t="shared" si="34"/>
        <v>263.50991766467081</v>
      </c>
      <c r="AZ123" s="9">
        <f t="shared" si="35"/>
        <v>179.22499999999994</v>
      </c>
      <c r="BA123" s="9">
        <f t="shared" si="36"/>
        <v>522.74429266467075</v>
      </c>
      <c r="BB123" s="9">
        <f t="shared" si="37"/>
        <v>359.99062499999997</v>
      </c>
      <c r="BC123" s="20"/>
      <c r="BD123" s="9">
        <v>137</v>
      </c>
      <c r="BF123" s="9">
        <v>152</v>
      </c>
      <c r="BH123" s="9">
        <v>29</v>
      </c>
      <c r="BI123" s="9">
        <f t="shared" si="38"/>
        <v>29</v>
      </c>
      <c r="BJ123" s="9">
        <f t="shared" si="55"/>
        <v>840.69992158540072</v>
      </c>
      <c r="BK123" s="12">
        <f t="shared" si="50"/>
        <v>29</v>
      </c>
      <c r="BP123" s="9">
        <v>15</v>
      </c>
      <c r="BQ123" s="9">
        <f t="shared" si="39"/>
        <v>15</v>
      </c>
      <c r="BR123" s="12">
        <f t="shared" si="40"/>
        <v>840.69992158540072</v>
      </c>
      <c r="BS123" s="23">
        <f t="shared" si="51"/>
        <v>15</v>
      </c>
      <c r="BU123" s="9">
        <v>61</v>
      </c>
      <c r="BW123" s="9">
        <v>0</v>
      </c>
      <c r="BX123" s="9">
        <v>93</v>
      </c>
      <c r="BY123" s="9">
        <v>95</v>
      </c>
      <c r="BZ123" s="9">
        <v>95</v>
      </c>
      <c r="CA123" s="9">
        <v>96</v>
      </c>
      <c r="CB123" s="9">
        <v>101</v>
      </c>
      <c r="CC123" s="9">
        <v>109</v>
      </c>
      <c r="CD123" s="9">
        <v>90</v>
      </c>
      <c r="CE123" s="9">
        <v>91</v>
      </c>
      <c r="CF123" s="9">
        <v>94</v>
      </c>
      <c r="CG123" s="9">
        <v>69</v>
      </c>
      <c r="CH123" s="9">
        <v>61</v>
      </c>
      <c r="CI123" s="9">
        <v>40</v>
      </c>
      <c r="CJ123" s="9">
        <v>46</v>
      </c>
      <c r="CK123" s="12">
        <f t="shared" si="52"/>
        <v>1033.5</v>
      </c>
      <c r="CL123" s="9">
        <f t="shared" si="41"/>
        <v>332.5</v>
      </c>
      <c r="CM123" s="9">
        <f t="shared" si="42"/>
        <v>216</v>
      </c>
      <c r="CN123" s="9">
        <f t="shared" si="43"/>
        <v>632.5</v>
      </c>
      <c r="CO123" s="207">
        <f t="shared" si="48"/>
        <v>401</v>
      </c>
      <c r="CQ123" s="9">
        <f t="shared" si="44"/>
        <v>679</v>
      </c>
      <c r="CR123" s="9">
        <f t="shared" si="45"/>
        <v>401</v>
      </c>
    </row>
    <row r="124" spans="1:96" ht="29.25">
      <c r="A124" t="str">
        <f t="shared" si="28"/>
        <v>456</v>
      </c>
      <c r="B124">
        <f t="shared" si="32"/>
        <v>456</v>
      </c>
      <c r="C124" s="15" t="s">
        <v>132</v>
      </c>
      <c r="D124" s="11"/>
      <c r="E124" s="9">
        <f>SUM(22.9518072289157*0.5)</f>
        <v>11.475903614457851</v>
      </c>
      <c r="F124" s="9">
        <v>28.003012048192801</v>
      </c>
      <c r="G124" s="9">
        <v>28.147590361445801</v>
      </c>
      <c r="H124" s="9">
        <v>27.918674698795201</v>
      </c>
      <c r="I124" s="9">
        <v>31.8855421686747</v>
      </c>
      <c r="J124" s="9">
        <v>31.243975903614501</v>
      </c>
      <c r="K124" s="9">
        <v>31.689759036144601</v>
      </c>
      <c r="L124" s="9">
        <v>31.731927710843401</v>
      </c>
      <c r="M124" s="9">
        <v>30.421686746988001</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9">
        <v>0</v>
      </c>
      <c r="AO124" s="9">
        <v>0</v>
      </c>
      <c r="AP124" s="9">
        <v>0</v>
      </c>
      <c r="AQ124" s="9">
        <v>0</v>
      </c>
      <c r="AR124" s="9">
        <v>0</v>
      </c>
      <c r="AS124" s="9">
        <v>0</v>
      </c>
      <c r="AT124" s="9">
        <v>0</v>
      </c>
      <c r="AU124" s="9">
        <v>0</v>
      </c>
      <c r="AV124" s="9">
        <v>0</v>
      </c>
      <c r="AW124" s="9">
        <v>0</v>
      </c>
      <c r="AX124" s="9">
        <f t="shared" si="33"/>
        <v>265.14397590361472</v>
      </c>
      <c r="AY124" s="9">
        <f t="shared" si="34"/>
        <v>100.32243975903623</v>
      </c>
      <c r="AZ124" s="9">
        <f t="shared" si="35"/>
        <v>0</v>
      </c>
      <c r="BA124" s="9">
        <f t="shared" si="36"/>
        <v>199.88268072289173</v>
      </c>
      <c r="BB124" s="9">
        <f t="shared" si="37"/>
        <v>65.261295180722982</v>
      </c>
      <c r="BC124" s="20"/>
      <c r="BD124" s="9">
        <v>52</v>
      </c>
      <c r="BF124" s="9">
        <v>48</v>
      </c>
      <c r="BH124" s="9">
        <v>10</v>
      </c>
      <c r="BI124" s="9">
        <f t="shared" si="38"/>
        <v>10</v>
      </c>
      <c r="BJ124" s="9">
        <f t="shared" si="55"/>
        <v>252.51807228915686</v>
      </c>
      <c r="BK124" s="12">
        <f t="shared" si="50"/>
        <v>10</v>
      </c>
      <c r="BP124" s="9">
        <v>0</v>
      </c>
      <c r="BQ124" s="9">
        <f t="shared" si="39"/>
        <v>0</v>
      </c>
      <c r="BR124" s="12">
        <f t="shared" si="40"/>
        <v>252.51807228915686</v>
      </c>
      <c r="BS124" s="23">
        <f t="shared" si="51"/>
        <v>0</v>
      </c>
      <c r="BU124" s="9">
        <v>0</v>
      </c>
      <c r="BW124" s="9">
        <v>0</v>
      </c>
      <c r="BX124" s="9">
        <v>24</v>
      </c>
      <c r="BY124" s="9">
        <v>29</v>
      </c>
      <c r="BZ124" s="9">
        <v>29</v>
      </c>
      <c r="CA124" s="9">
        <v>29</v>
      </c>
      <c r="CB124" s="9">
        <v>33</v>
      </c>
      <c r="CC124" s="9">
        <v>33</v>
      </c>
      <c r="CD124" s="9">
        <v>33</v>
      </c>
      <c r="CE124" s="9">
        <v>30</v>
      </c>
      <c r="CF124" s="9">
        <v>33</v>
      </c>
      <c r="CG124" s="9">
        <v>0</v>
      </c>
      <c r="CH124" s="9">
        <v>0</v>
      </c>
      <c r="CI124" s="9">
        <v>0</v>
      </c>
      <c r="CJ124" s="9">
        <v>0</v>
      </c>
      <c r="CK124" s="12">
        <f t="shared" si="52"/>
        <v>261</v>
      </c>
      <c r="CL124" s="9">
        <f t="shared" si="41"/>
        <v>99</v>
      </c>
      <c r="CM124" s="9">
        <f t="shared" si="42"/>
        <v>0</v>
      </c>
      <c r="CN124" s="9">
        <f t="shared" si="43"/>
        <v>198</v>
      </c>
      <c r="CO124" s="207">
        <f t="shared" si="48"/>
        <v>63</v>
      </c>
      <c r="CQ124" s="9">
        <f t="shared" si="44"/>
        <v>210</v>
      </c>
      <c r="CR124" s="9">
        <f t="shared" si="45"/>
        <v>63</v>
      </c>
    </row>
    <row r="125" spans="1:96" ht="29.25">
      <c r="A125" t="str">
        <f t="shared" si="28"/>
        <v>457</v>
      </c>
      <c r="B125">
        <f t="shared" si="32"/>
        <v>457</v>
      </c>
      <c r="C125" s="15" t="s">
        <v>133</v>
      </c>
      <c r="D125" s="11"/>
      <c r="E125" s="9">
        <f>SUM(38.873595505618*0.5)</f>
        <v>19.436797752808999</v>
      </c>
      <c r="F125" s="9">
        <v>24.946629213483099</v>
      </c>
      <c r="G125" s="9">
        <v>25.904494382022499</v>
      </c>
      <c r="H125" s="9">
        <v>45.9578651685393</v>
      </c>
      <c r="I125" s="9">
        <v>37.036516853932604</v>
      </c>
      <c r="J125" s="9">
        <v>46.848314606741603</v>
      </c>
      <c r="K125" s="9">
        <v>61.443820224719097</v>
      </c>
      <c r="L125" s="9">
        <v>83.648876404494402</v>
      </c>
      <c r="M125" s="9">
        <v>96.738764044943807</v>
      </c>
      <c r="N125" s="9">
        <v>104.893258426966</v>
      </c>
      <c r="O125" s="9">
        <v>90.078651685393297</v>
      </c>
      <c r="P125" s="9">
        <v>110.558988764045</v>
      </c>
      <c r="Q125" s="9">
        <v>71.724719101123597</v>
      </c>
      <c r="R125" s="9">
        <v>0</v>
      </c>
      <c r="S125" s="9">
        <v>0</v>
      </c>
      <c r="T125" s="9">
        <v>0</v>
      </c>
      <c r="U125" s="9">
        <v>0</v>
      </c>
      <c r="V125" s="9">
        <v>0</v>
      </c>
      <c r="W125" s="9">
        <v>0</v>
      </c>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9">
        <v>0</v>
      </c>
      <c r="AO125" s="9">
        <v>0</v>
      </c>
      <c r="AP125" s="9">
        <v>0</v>
      </c>
      <c r="AQ125" s="9">
        <v>0</v>
      </c>
      <c r="AR125" s="9">
        <v>0</v>
      </c>
      <c r="AS125" s="9">
        <v>0</v>
      </c>
      <c r="AT125" s="9">
        <v>0</v>
      </c>
      <c r="AU125" s="9">
        <v>0</v>
      </c>
      <c r="AV125" s="9">
        <v>0</v>
      </c>
      <c r="AW125" s="9">
        <v>0</v>
      </c>
      <c r="AX125" s="9">
        <f t="shared" si="33"/>
        <v>860.17858146067408</v>
      </c>
      <c r="AY125" s="9">
        <f t="shared" si="34"/>
        <v>122.0580758426966</v>
      </c>
      <c r="AZ125" s="9">
        <f t="shared" si="35"/>
        <v>396.11839887640429</v>
      </c>
      <c r="BA125" s="9">
        <f t="shared" si="36"/>
        <v>274.65316011235961</v>
      </c>
      <c r="BB125" s="9">
        <f t="shared" si="37"/>
        <v>585.52542134831447</v>
      </c>
      <c r="BC125" s="20"/>
      <c r="BD125" s="9">
        <v>379</v>
      </c>
      <c r="BF125" s="9">
        <v>413</v>
      </c>
      <c r="BH125" s="9">
        <v>116</v>
      </c>
      <c r="BI125" s="9">
        <f t="shared" si="38"/>
        <v>116</v>
      </c>
      <c r="BJ125" s="9">
        <f t="shared" si="55"/>
        <v>819.21769662921338</v>
      </c>
      <c r="BK125" s="12">
        <f t="shared" si="50"/>
        <v>116</v>
      </c>
      <c r="BP125" s="9">
        <v>20</v>
      </c>
      <c r="BQ125" s="9">
        <f t="shared" si="39"/>
        <v>20</v>
      </c>
      <c r="BR125" s="12">
        <f t="shared" si="40"/>
        <v>819.21769662921338</v>
      </c>
      <c r="BS125" s="23">
        <f t="shared" si="51"/>
        <v>20</v>
      </c>
      <c r="BU125" s="9">
        <v>55</v>
      </c>
      <c r="BW125" s="9">
        <v>0</v>
      </c>
      <c r="BX125" s="9">
        <v>35</v>
      </c>
      <c r="BY125" s="9">
        <v>22</v>
      </c>
      <c r="BZ125" s="9">
        <v>31</v>
      </c>
      <c r="CA125" s="9">
        <v>36</v>
      </c>
      <c r="CB125" s="9">
        <v>42</v>
      </c>
      <c r="CC125" s="9">
        <v>52</v>
      </c>
      <c r="CD125" s="9">
        <v>68</v>
      </c>
      <c r="CE125" s="9">
        <v>94</v>
      </c>
      <c r="CF125" s="9">
        <v>121</v>
      </c>
      <c r="CG125" s="9">
        <v>136</v>
      </c>
      <c r="CH125" s="9">
        <v>116</v>
      </c>
      <c r="CI125" s="9">
        <v>112</v>
      </c>
      <c r="CJ125" s="9">
        <v>116</v>
      </c>
      <c r="CK125" s="12">
        <f t="shared" si="52"/>
        <v>963.5</v>
      </c>
      <c r="CL125" s="9">
        <f t="shared" si="41"/>
        <v>106.5</v>
      </c>
      <c r="CM125" s="9">
        <f t="shared" si="42"/>
        <v>480</v>
      </c>
      <c r="CN125" s="9">
        <f t="shared" si="43"/>
        <v>268.5</v>
      </c>
      <c r="CO125" s="207">
        <f t="shared" si="48"/>
        <v>695</v>
      </c>
      <c r="CQ125" s="9">
        <f t="shared" si="44"/>
        <v>286</v>
      </c>
      <c r="CR125" s="9">
        <f t="shared" si="45"/>
        <v>695</v>
      </c>
    </row>
    <row r="126" spans="1:96" ht="29.25">
      <c r="A126" t="str">
        <f t="shared" si="28"/>
        <v>458</v>
      </c>
      <c r="B126">
        <f t="shared" si="32"/>
        <v>458</v>
      </c>
      <c r="C126" s="15" t="s">
        <v>134</v>
      </c>
      <c r="D126" s="11"/>
      <c r="E126" s="9">
        <f>SUM(24.2222222222222*0.5)</f>
        <v>12.1111111111111</v>
      </c>
      <c r="F126" s="9">
        <v>27.2923976608187</v>
      </c>
      <c r="G126" s="9">
        <v>29.210526315789501</v>
      </c>
      <c r="H126" s="9">
        <v>28.926900584795298</v>
      </c>
      <c r="I126" s="9">
        <v>32.219298245613999</v>
      </c>
      <c r="J126" s="9">
        <v>32.204678362573098</v>
      </c>
      <c r="K126" s="9">
        <v>29.494152046783601</v>
      </c>
      <c r="L126" s="9">
        <v>30.6812865497076</v>
      </c>
      <c r="M126" s="9">
        <v>28.748538011695899</v>
      </c>
      <c r="N126" s="9">
        <v>41.897660818713398</v>
      </c>
      <c r="O126" s="9">
        <v>33.8888888888889</v>
      </c>
      <c r="P126" s="9">
        <v>33.423976608187097</v>
      </c>
      <c r="Q126" s="9">
        <v>27.152694610778401</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9">
        <v>0</v>
      </c>
      <c r="AO126" s="9">
        <v>0</v>
      </c>
      <c r="AP126" s="9">
        <v>0</v>
      </c>
      <c r="AQ126" s="9">
        <v>0</v>
      </c>
      <c r="AR126" s="9">
        <v>0</v>
      </c>
      <c r="AS126" s="9">
        <v>0</v>
      </c>
      <c r="AT126" s="9">
        <v>0</v>
      </c>
      <c r="AU126" s="9">
        <v>0</v>
      </c>
      <c r="AV126" s="9">
        <v>0</v>
      </c>
      <c r="AW126" s="9">
        <v>0</v>
      </c>
      <c r="AX126" s="9">
        <f t="shared" si="33"/>
        <v>406.61471530622947</v>
      </c>
      <c r="AY126" s="9">
        <f t="shared" si="34"/>
        <v>102.41798245614032</v>
      </c>
      <c r="AZ126" s="9">
        <f t="shared" si="35"/>
        <v>143.18138197289619</v>
      </c>
      <c r="BA126" s="9">
        <f t="shared" si="36"/>
        <v>201.03201754385955</v>
      </c>
      <c r="BB126" s="9">
        <f t="shared" si="37"/>
        <v>205.58269776236989</v>
      </c>
      <c r="BC126" s="20"/>
      <c r="BD126" s="9">
        <v>142</v>
      </c>
      <c r="BF126" s="9">
        <v>111</v>
      </c>
      <c r="BH126" s="9">
        <v>20</v>
      </c>
      <c r="BI126" s="9">
        <f t="shared" si="38"/>
        <v>20</v>
      </c>
      <c r="BJ126" s="9">
        <f t="shared" si="55"/>
        <v>387.25210981545661</v>
      </c>
      <c r="BK126" s="12">
        <f t="shared" si="50"/>
        <v>20</v>
      </c>
      <c r="BP126" s="9">
        <v>0</v>
      </c>
      <c r="BQ126" s="9">
        <f t="shared" si="39"/>
        <v>0</v>
      </c>
      <c r="BR126" s="12">
        <f t="shared" si="40"/>
        <v>387.25210981545661</v>
      </c>
      <c r="BS126" s="23">
        <f t="shared" si="51"/>
        <v>0</v>
      </c>
      <c r="BU126" s="9">
        <v>0</v>
      </c>
      <c r="BW126" s="9">
        <v>0</v>
      </c>
      <c r="BX126" s="9">
        <v>24</v>
      </c>
      <c r="BY126" s="9">
        <v>28</v>
      </c>
      <c r="BZ126" s="9">
        <v>30</v>
      </c>
      <c r="CA126" s="9">
        <v>30</v>
      </c>
      <c r="CB126" s="9">
        <v>32</v>
      </c>
      <c r="CC126" s="9">
        <v>30</v>
      </c>
      <c r="CD126" s="9">
        <v>30</v>
      </c>
      <c r="CE126" s="9">
        <v>30</v>
      </c>
      <c r="CF126" s="9">
        <v>30</v>
      </c>
      <c r="CG126" s="9">
        <v>42</v>
      </c>
      <c r="CH126" s="9">
        <v>43</v>
      </c>
      <c r="CI126" s="9">
        <v>32</v>
      </c>
      <c r="CJ126" s="9">
        <v>32</v>
      </c>
      <c r="CK126" s="12">
        <f t="shared" si="52"/>
        <v>401</v>
      </c>
      <c r="CL126" s="9">
        <f t="shared" si="41"/>
        <v>100</v>
      </c>
      <c r="CM126" s="9">
        <f t="shared" si="42"/>
        <v>149</v>
      </c>
      <c r="CN126" s="9">
        <f t="shared" si="43"/>
        <v>192</v>
      </c>
      <c r="CO126" s="207">
        <f t="shared" si="48"/>
        <v>209</v>
      </c>
      <c r="CQ126" s="9">
        <f t="shared" si="44"/>
        <v>204</v>
      </c>
      <c r="CR126" s="9">
        <f t="shared" si="45"/>
        <v>209</v>
      </c>
    </row>
    <row r="127" spans="1:96" ht="29.25">
      <c r="A127" t="str">
        <f t="shared" si="28"/>
        <v>460</v>
      </c>
      <c r="B127">
        <f t="shared" si="32"/>
        <v>460</v>
      </c>
      <c r="C127" s="16" t="s">
        <v>135</v>
      </c>
      <c r="D127" s="11"/>
      <c r="E127" s="9">
        <f>SUM(46.0063694267516*0.5)</f>
        <v>23.003184713375799</v>
      </c>
      <c r="F127" s="9">
        <v>55.334394904458598</v>
      </c>
      <c r="G127" s="9">
        <v>58.328025477707001</v>
      </c>
      <c r="H127" s="9">
        <v>62.197452229299401</v>
      </c>
      <c r="I127" s="9">
        <v>62.197452229299401</v>
      </c>
      <c r="J127" s="9">
        <v>63.649681528662398</v>
      </c>
      <c r="K127" s="9">
        <v>64.257961783439498</v>
      </c>
      <c r="L127" s="9">
        <v>63.7388535031847</v>
      </c>
      <c r="M127" s="9">
        <v>54.487261146496799</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9">
        <v>0</v>
      </c>
      <c r="AO127" s="9">
        <v>0</v>
      </c>
      <c r="AP127" s="9">
        <v>0</v>
      </c>
      <c r="AQ127" s="9">
        <v>0</v>
      </c>
      <c r="AR127" s="9">
        <v>0</v>
      </c>
      <c r="AS127" s="9">
        <v>0</v>
      </c>
      <c r="AT127" s="9">
        <v>0</v>
      </c>
      <c r="AU127" s="9">
        <v>0</v>
      </c>
      <c r="AV127" s="9">
        <v>0</v>
      </c>
      <c r="AW127" s="9">
        <v>0</v>
      </c>
      <c r="AX127" s="9">
        <f t="shared" si="33"/>
        <v>532.55398089171979</v>
      </c>
      <c r="AY127" s="9">
        <f t="shared" si="34"/>
        <v>208.80621019108284</v>
      </c>
      <c r="AZ127" s="9">
        <f t="shared" si="35"/>
        <v>0</v>
      </c>
      <c r="BA127" s="9">
        <f t="shared" si="36"/>
        <v>408.41656050955419</v>
      </c>
      <c r="BB127" s="9">
        <f t="shared" si="37"/>
        <v>124.13742038216559</v>
      </c>
      <c r="BC127" s="20"/>
      <c r="BD127" s="9">
        <v>163</v>
      </c>
      <c r="BF127" s="9">
        <v>170</v>
      </c>
      <c r="BH127" s="9">
        <v>56</v>
      </c>
      <c r="BI127" s="9">
        <f t="shared" si="38"/>
        <v>56</v>
      </c>
      <c r="BJ127" s="9">
        <f t="shared" si="55"/>
        <v>507.19426751592357</v>
      </c>
      <c r="BK127" s="12">
        <f t="shared" si="50"/>
        <v>56</v>
      </c>
      <c r="BP127" s="9">
        <v>0</v>
      </c>
      <c r="BQ127" s="9">
        <f t="shared" si="39"/>
        <v>0</v>
      </c>
      <c r="BR127" s="12">
        <f t="shared" si="40"/>
        <v>507.19426751592357</v>
      </c>
      <c r="BS127" s="23">
        <f t="shared" si="51"/>
        <v>0</v>
      </c>
      <c r="BU127" s="9">
        <v>0</v>
      </c>
      <c r="BW127" s="9">
        <v>0</v>
      </c>
      <c r="BX127" s="9">
        <v>48</v>
      </c>
      <c r="BY127" s="9">
        <v>56</v>
      </c>
      <c r="BZ127" s="9">
        <v>59</v>
      </c>
      <c r="CA127" s="9">
        <v>65</v>
      </c>
      <c r="CB127" s="9">
        <v>64</v>
      </c>
      <c r="CC127" s="9">
        <v>65</v>
      </c>
      <c r="CD127" s="9">
        <v>66</v>
      </c>
      <c r="CE127" s="9">
        <v>66</v>
      </c>
      <c r="CF127" s="9">
        <v>63</v>
      </c>
      <c r="CG127" s="9">
        <v>0</v>
      </c>
      <c r="CH127" s="9">
        <v>0</v>
      </c>
      <c r="CI127" s="9">
        <v>0</v>
      </c>
      <c r="CJ127" s="9">
        <v>0</v>
      </c>
      <c r="CK127" s="12">
        <f t="shared" si="52"/>
        <v>528</v>
      </c>
      <c r="CL127" s="9">
        <f t="shared" si="41"/>
        <v>204</v>
      </c>
      <c r="CM127" s="9">
        <f t="shared" si="42"/>
        <v>0</v>
      </c>
      <c r="CN127" s="9">
        <f t="shared" si="43"/>
        <v>399</v>
      </c>
      <c r="CO127" s="207">
        <f t="shared" si="48"/>
        <v>129</v>
      </c>
      <c r="CQ127" s="9">
        <f t="shared" si="44"/>
        <v>423</v>
      </c>
      <c r="CR127" s="9">
        <f t="shared" si="45"/>
        <v>129</v>
      </c>
    </row>
    <row r="128" spans="1:96" ht="43.5">
      <c r="A128" t="str">
        <f t="shared" si="28"/>
        <v>461</v>
      </c>
      <c r="B128">
        <f t="shared" si="32"/>
        <v>461</v>
      </c>
      <c r="C128" s="15" t="s">
        <v>136</v>
      </c>
      <c r="D128" s="11"/>
      <c r="E128" s="9">
        <f>SUM(28.4135802469136*0.5)</f>
        <v>14.2067901234568</v>
      </c>
      <c r="F128" s="9">
        <v>29.404320987654302</v>
      </c>
      <c r="G128" s="9">
        <v>28.7777777777778</v>
      </c>
      <c r="H128" s="9">
        <v>29.098765432098801</v>
      </c>
      <c r="I128" s="9">
        <v>32.506172839506199</v>
      </c>
      <c r="J128" s="9">
        <v>32.660493827160501</v>
      </c>
      <c r="K128" s="9">
        <v>32.793209876543202</v>
      </c>
      <c r="L128" s="9">
        <v>31.466463414634099</v>
      </c>
      <c r="M128" s="9">
        <v>29.5</v>
      </c>
      <c r="N128" s="9">
        <v>22.109756097561</v>
      </c>
      <c r="O128" s="9">
        <v>25.173780487804901</v>
      </c>
      <c r="P128" s="9">
        <v>28.881097560975601</v>
      </c>
      <c r="Q128" s="9">
        <v>22.365853658536601</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c r="AO128" s="9">
        <v>0</v>
      </c>
      <c r="AP128" s="9">
        <v>0</v>
      </c>
      <c r="AQ128" s="9">
        <v>0</v>
      </c>
      <c r="AR128" s="9">
        <v>0</v>
      </c>
      <c r="AS128" s="9">
        <v>0</v>
      </c>
      <c r="AT128" s="9">
        <v>0</v>
      </c>
      <c r="AU128" s="9">
        <v>0</v>
      </c>
      <c r="AV128" s="9">
        <v>0</v>
      </c>
      <c r="AW128" s="9">
        <v>0</v>
      </c>
      <c r="AX128" s="9">
        <f t="shared" si="33"/>
        <v>376.89170618789535</v>
      </c>
      <c r="AY128" s="9">
        <f t="shared" si="34"/>
        <v>106.56203703703709</v>
      </c>
      <c r="AZ128" s="9">
        <f t="shared" si="35"/>
        <v>103.45701219512202</v>
      </c>
      <c r="BA128" s="9">
        <f t="shared" si="36"/>
        <v>209.41990740740752</v>
      </c>
      <c r="BB128" s="9">
        <f t="shared" si="37"/>
        <v>167.4717987804878</v>
      </c>
      <c r="BC128" s="20"/>
      <c r="BD128" s="9">
        <v>169</v>
      </c>
      <c r="BF128" s="9">
        <v>133</v>
      </c>
      <c r="BH128" s="9">
        <v>33</v>
      </c>
      <c r="BI128" s="9">
        <f t="shared" si="38"/>
        <v>33</v>
      </c>
      <c r="BJ128" s="9">
        <f t="shared" si="55"/>
        <v>358.94448208370983</v>
      </c>
      <c r="BK128" s="12">
        <f t="shared" si="50"/>
        <v>33</v>
      </c>
      <c r="BP128" s="9">
        <v>0</v>
      </c>
      <c r="BQ128" s="9">
        <f t="shared" si="39"/>
        <v>0</v>
      </c>
      <c r="BR128" s="12">
        <f t="shared" si="40"/>
        <v>358.94448208370983</v>
      </c>
      <c r="BS128" s="23">
        <f t="shared" si="51"/>
        <v>0</v>
      </c>
      <c r="BU128" s="9">
        <v>0</v>
      </c>
      <c r="BW128" s="9">
        <v>0</v>
      </c>
      <c r="BX128" s="9">
        <v>30</v>
      </c>
      <c r="BY128" s="9">
        <v>30</v>
      </c>
      <c r="BZ128" s="9">
        <v>30</v>
      </c>
      <c r="CA128" s="9">
        <v>30</v>
      </c>
      <c r="CB128" s="9">
        <v>34</v>
      </c>
      <c r="CC128" s="9">
        <v>34</v>
      </c>
      <c r="CD128" s="9">
        <v>34</v>
      </c>
      <c r="CE128" s="9">
        <v>27</v>
      </c>
      <c r="CF128" s="9">
        <v>27</v>
      </c>
      <c r="CG128" s="9">
        <v>24</v>
      </c>
      <c r="CH128" s="9">
        <v>21</v>
      </c>
      <c r="CI128" s="9">
        <v>21</v>
      </c>
      <c r="CJ128" s="9">
        <v>25</v>
      </c>
      <c r="CK128" s="12">
        <f t="shared" si="52"/>
        <v>352</v>
      </c>
      <c r="CL128" s="9">
        <f t="shared" si="41"/>
        <v>105</v>
      </c>
      <c r="CM128" s="9">
        <f t="shared" si="42"/>
        <v>91</v>
      </c>
      <c r="CN128" s="9">
        <f t="shared" si="43"/>
        <v>207</v>
      </c>
      <c r="CO128" s="207">
        <f t="shared" si="48"/>
        <v>145</v>
      </c>
      <c r="CQ128" s="9">
        <f t="shared" si="44"/>
        <v>222</v>
      </c>
      <c r="CR128" s="9">
        <f t="shared" si="45"/>
        <v>145</v>
      </c>
    </row>
    <row r="129" spans="1:96" ht="29.25">
      <c r="A129" t="str">
        <f t="shared" si="28"/>
        <v>462</v>
      </c>
      <c r="B129">
        <f t="shared" si="32"/>
        <v>462</v>
      </c>
      <c r="C129" s="15" t="s">
        <v>137</v>
      </c>
      <c r="D129" s="11"/>
      <c r="E129" s="9">
        <f>SUM(47.8934911242604*0.5)</f>
        <v>23.9467455621302</v>
      </c>
      <c r="F129" s="9">
        <v>55.532544378698198</v>
      </c>
      <c r="G129" s="9">
        <v>55.245562130177497</v>
      </c>
      <c r="H129" s="9">
        <v>55.698224852071</v>
      </c>
      <c r="I129" s="9">
        <v>64.594674556212993</v>
      </c>
      <c r="J129" s="9">
        <v>65.491124260354994</v>
      </c>
      <c r="K129" s="9">
        <v>61.3934911242604</v>
      </c>
      <c r="L129" s="9">
        <v>63.582840236686401</v>
      </c>
      <c r="M129" s="9">
        <v>65.606508875739706</v>
      </c>
      <c r="N129" s="9">
        <v>52.923076923076898</v>
      </c>
      <c r="O129" s="9">
        <v>39.630177514792898</v>
      </c>
      <c r="P129" s="9">
        <v>41.760355029585803</v>
      </c>
      <c r="Q129" s="9">
        <v>30.7544378698225</v>
      </c>
      <c r="R129" s="9">
        <v>0</v>
      </c>
      <c r="S129" s="9">
        <v>0</v>
      </c>
      <c r="T129" s="9">
        <v>0</v>
      </c>
      <c r="U129" s="9">
        <v>0</v>
      </c>
      <c r="V129" s="9">
        <v>0</v>
      </c>
      <c r="W129" s="9">
        <v>0</v>
      </c>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9">
        <v>0</v>
      </c>
      <c r="AO129" s="9">
        <v>0</v>
      </c>
      <c r="AP129" s="9">
        <v>0</v>
      </c>
      <c r="AQ129" s="9">
        <v>0</v>
      </c>
      <c r="AR129" s="9">
        <v>0</v>
      </c>
      <c r="AS129" s="9">
        <v>0</v>
      </c>
      <c r="AT129" s="9">
        <v>0</v>
      </c>
      <c r="AU129" s="9">
        <v>0</v>
      </c>
      <c r="AV129" s="9">
        <v>0</v>
      </c>
      <c r="AW129" s="9">
        <v>0</v>
      </c>
      <c r="AX129" s="9">
        <f t="shared" si="33"/>
        <v>709.96775147928997</v>
      </c>
      <c r="AY129" s="9">
        <f t="shared" si="34"/>
        <v>199.94423076923076</v>
      </c>
      <c r="AZ129" s="9">
        <f t="shared" si="35"/>
        <v>173.32144970414203</v>
      </c>
      <c r="BA129" s="9">
        <f t="shared" si="36"/>
        <v>400.99748520710057</v>
      </c>
      <c r="BB129" s="9">
        <f t="shared" si="37"/>
        <v>308.97026627218941</v>
      </c>
      <c r="BC129" s="20"/>
      <c r="BD129" s="9">
        <v>215</v>
      </c>
      <c r="BF129" s="9">
        <v>190</v>
      </c>
      <c r="BH129" s="9">
        <v>49</v>
      </c>
      <c r="BI129" s="9">
        <f t="shared" si="38"/>
        <v>49</v>
      </c>
      <c r="BJ129" s="9">
        <f t="shared" si="55"/>
        <v>676.15976331360946</v>
      </c>
      <c r="BK129" s="12">
        <f t="shared" si="50"/>
        <v>49</v>
      </c>
      <c r="BP129" s="9" t="s">
        <v>240</v>
      </c>
      <c r="BQ129" s="9" t="str">
        <f t="shared" si="39"/>
        <v/>
      </c>
      <c r="BR129" s="12" t="str">
        <f t="shared" si="40"/>
        <v/>
      </c>
      <c r="BS129" s="23">
        <f t="shared" si="51"/>
        <v>60.729903052689608</v>
      </c>
      <c r="BU129" s="9">
        <v>0</v>
      </c>
      <c r="BW129" s="9">
        <v>0</v>
      </c>
      <c r="BX129" s="9">
        <v>48</v>
      </c>
      <c r="BY129" s="9">
        <v>56</v>
      </c>
      <c r="BZ129" s="9">
        <v>56</v>
      </c>
      <c r="CA129" s="9">
        <v>56</v>
      </c>
      <c r="CB129" s="9">
        <v>66</v>
      </c>
      <c r="CC129" s="9">
        <v>65</v>
      </c>
      <c r="CD129" s="9">
        <v>66</v>
      </c>
      <c r="CE129" s="9">
        <v>58</v>
      </c>
      <c r="CF129" s="9">
        <v>59</v>
      </c>
      <c r="CG129" s="9">
        <v>54</v>
      </c>
      <c r="CH129" s="9">
        <v>52</v>
      </c>
      <c r="CI129" s="9">
        <v>36</v>
      </c>
      <c r="CJ129" s="9">
        <v>29</v>
      </c>
      <c r="CK129" s="12">
        <f t="shared" si="52"/>
        <v>677</v>
      </c>
      <c r="CL129" s="9">
        <f t="shared" si="41"/>
        <v>192</v>
      </c>
      <c r="CM129" s="9">
        <f t="shared" si="42"/>
        <v>171</v>
      </c>
      <c r="CN129" s="9">
        <f t="shared" si="43"/>
        <v>389</v>
      </c>
      <c r="CO129" s="207">
        <f t="shared" si="48"/>
        <v>288</v>
      </c>
      <c r="CQ129" s="9">
        <f t="shared" si="44"/>
        <v>413</v>
      </c>
      <c r="CR129" s="9">
        <f t="shared" si="45"/>
        <v>288</v>
      </c>
    </row>
    <row r="130" spans="1:96" ht="29.25">
      <c r="A130" t="str">
        <f t="shared" si="28"/>
        <v>463</v>
      </c>
      <c r="B130">
        <f t="shared" si="32"/>
        <v>463</v>
      </c>
      <c r="C130" s="15" t="s">
        <v>138</v>
      </c>
      <c r="D130" s="11"/>
      <c r="E130" s="9">
        <f>SUM(46.4203821656051*0.5)</f>
        <v>23.210191082802549</v>
      </c>
      <c r="F130" s="9">
        <v>52.103124999999999</v>
      </c>
      <c r="G130" s="9">
        <v>53.725000000000001</v>
      </c>
      <c r="H130" s="9">
        <v>55.384374999999999</v>
      </c>
      <c r="I130" s="9">
        <v>57.840625000000003</v>
      </c>
      <c r="J130" s="9">
        <v>60.725000000000001</v>
      </c>
      <c r="K130" s="9">
        <v>61.712499999999999</v>
      </c>
      <c r="L130" s="9">
        <v>61.059375000000003</v>
      </c>
      <c r="M130" s="9">
        <v>57.137500000000003</v>
      </c>
      <c r="N130" s="9">
        <v>46.340625000000003</v>
      </c>
      <c r="O130" s="9">
        <v>33.481250000000003</v>
      </c>
      <c r="P130" s="9">
        <v>38.512500000000003</v>
      </c>
      <c r="Q130" s="9">
        <v>36.912500000000001</v>
      </c>
      <c r="R130" s="9">
        <v>0</v>
      </c>
      <c r="S130" s="9">
        <v>0</v>
      </c>
      <c r="T130" s="9">
        <v>0</v>
      </c>
      <c r="U130" s="9">
        <v>0</v>
      </c>
      <c r="V130" s="9">
        <v>0</v>
      </c>
      <c r="W130" s="9">
        <v>0</v>
      </c>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9">
        <v>0</v>
      </c>
      <c r="AO130" s="9">
        <v>0</v>
      </c>
      <c r="AP130" s="9">
        <v>0</v>
      </c>
      <c r="AQ130" s="9">
        <v>0</v>
      </c>
      <c r="AR130" s="9">
        <v>0</v>
      </c>
      <c r="AS130" s="9">
        <v>0</v>
      </c>
      <c r="AT130" s="9">
        <v>0</v>
      </c>
      <c r="AU130" s="9">
        <v>0</v>
      </c>
      <c r="AV130" s="9">
        <v>0</v>
      </c>
      <c r="AW130" s="9">
        <v>0</v>
      </c>
      <c r="AX130" s="9">
        <f t="shared" si="33"/>
        <v>670.05179438694279</v>
      </c>
      <c r="AY130" s="9">
        <f t="shared" si="34"/>
        <v>193.64382563694267</v>
      </c>
      <c r="AZ130" s="9">
        <f t="shared" si="35"/>
        <v>163.00921875000003</v>
      </c>
      <c r="BA130" s="9">
        <f t="shared" si="36"/>
        <v>382.9358568869427</v>
      </c>
      <c r="BB130" s="9">
        <f t="shared" si="37"/>
        <v>287.11593750000003</v>
      </c>
      <c r="BC130" s="20"/>
      <c r="BD130" s="9">
        <v>257</v>
      </c>
      <c r="BF130" s="9">
        <v>262</v>
      </c>
      <c r="BH130" s="9">
        <v>49</v>
      </c>
      <c r="BI130" s="9">
        <f t="shared" si="38"/>
        <v>49</v>
      </c>
      <c r="BJ130" s="9">
        <f t="shared" si="55"/>
        <v>638.14456608280261</v>
      </c>
      <c r="BK130" s="12">
        <f t="shared" si="50"/>
        <v>49</v>
      </c>
      <c r="BP130" s="9">
        <v>5</v>
      </c>
      <c r="BQ130" s="9">
        <f t="shared" si="39"/>
        <v>5</v>
      </c>
      <c r="BR130" s="12">
        <f t="shared" si="40"/>
        <v>638.14456608280261</v>
      </c>
      <c r="BS130" s="23">
        <f t="shared" si="51"/>
        <v>5</v>
      </c>
      <c r="BU130" s="9">
        <v>34</v>
      </c>
      <c r="BW130" s="9">
        <v>0</v>
      </c>
      <c r="BX130" s="9">
        <v>46</v>
      </c>
      <c r="BY130" s="9">
        <v>57</v>
      </c>
      <c r="BZ130" s="9">
        <v>57</v>
      </c>
      <c r="CA130" s="9">
        <v>60</v>
      </c>
      <c r="CB130" s="9">
        <v>63</v>
      </c>
      <c r="CC130" s="9">
        <v>69</v>
      </c>
      <c r="CD130" s="9">
        <v>65</v>
      </c>
      <c r="CE130" s="9">
        <v>68</v>
      </c>
      <c r="CF130" s="9">
        <v>67</v>
      </c>
      <c r="CG130" s="9">
        <v>50</v>
      </c>
      <c r="CH130" s="9">
        <v>43</v>
      </c>
      <c r="CI130" s="9">
        <v>35</v>
      </c>
      <c r="CJ130" s="9">
        <v>39</v>
      </c>
      <c r="CK130" s="12">
        <f t="shared" si="52"/>
        <v>696</v>
      </c>
      <c r="CL130" s="9">
        <f t="shared" si="41"/>
        <v>197</v>
      </c>
      <c r="CM130" s="9">
        <f t="shared" si="42"/>
        <v>167</v>
      </c>
      <c r="CN130" s="9">
        <f t="shared" si="43"/>
        <v>394</v>
      </c>
      <c r="CO130" s="207">
        <f t="shared" si="48"/>
        <v>302</v>
      </c>
      <c r="CQ130" s="9">
        <f t="shared" si="44"/>
        <v>417</v>
      </c>
      <c r="CR130" s="9">
        <f t="shared" si="45"/>
        <v>302</v>
      </c>
    </row>
    <row r="131" spans="1:96" ht="29.25">
      <c r="A131" t="str">
        <f t="shared" si="28"/>
        <v>464</v>
      </c>
      <c r="B131">
        <f t="shared" si="32"/>
        <v>464</v>
      </c>
      <c r="C131" s="15" t="s">
        <v>139</v>
      </c>
      <c r="D131" s="11"/>
      <c r="E131" s="9">
        <f>SUM(63.3975903614458*0.5)</f>
        <v>31.6987951807229</v>
      </c>
      <c r="F131" s="9">
        <v>62.939759036144601</v>
      </c>
      <c r="G131" s="9">
        <v>66.638554216867504</v>
      </c>
      <c r="H131" s="9">
        <v>50.355421686747</v>
      </c>
      <c r="I131" s="9">
        <v>44.153614457831303</v>
      </c>
      <c r="J131" s="9">
        <v>51.090361445783103</v>
      </c>
      <c r="K131" s="9">
        <v>50.340361445783103</v>
      </c>
      <c r="L131" s="9">
        <v>31.680722891566301</v>
      </c>
      <c r="M131" s="9">
        <v>18.659638554216901</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9">
        <v>0</v>
      </c>
      <c r="AO131" s="9">
        <v>0</v>
      </c>
      <c r="AP131" s="9">
        <v>0</v>
      </c>
      <c r="AQ131" s="9">
        <v>0</v>
      </c>
      <c r="AR131" s="9">
        <v>0</v>
      </c>
      <c r="AS131" s="9">
        <v>0</v>
      </c>
      <c r="AT131" s="9">
        <v>0</v>
      </c>
      <c r="AU131" s="9">
        <v>0</v>
      </c>
      <c r="AV131" s="9">
        <v>0</v>
      </c>
      <c r="AW131" s="9">
        <v>0</v>
      </c>
      <c r="AX131" s="9">
        <f t="shared" si="33"/>
        <v>427.93509036144587</v>
      </c>
      <c r="AY131" s="9">
        <f t="shared" si="34"/>
        <v>222.21415662650614</v>
      </c>
      <c r="AZ131" s="9">
        <f t="shared" si="35"/>
        <v>0</v>
      </c>
      <c r="BA131" s="9">
        <f t="shared" si="36"/>
        <v>375.07771084337355</v>
      </c>
      <c r="BB131" s="9">
        <f t="shared" si="37"/>
        <v>52.857379518072364</v>
      </c>
      <c r="BC131" s="20"/>
      <c r="BD131" s="9">
        <v>142</v>
      </c>
      <c r="BF131" s="9">
        <v>161</v>
      </c>
      <c r="BH131" s="9">
        <v>41</v>
      </c>
      <c r="BI131" s="9">
        <f t="shared" si="38"/>
        <v>41</v>
      </c>
      <c r="BJ131" s="9">
        <f t="shared" si="55"/>
        <v>407.55722891566273</v>
      </c>
      <c r="BK131" s="12">
        <f t="shared" si="50"/>
        <v>41</v>
      </c>
      <c r="BP131" s="9" t="s">
        <v>240</v>
      </c>
      <c r="BQ131" s="9" t="str">
        <f t="shared" si="39"/>
        <v/>
      </c>
      <c r="BR131" s="12" t="str">
        <f t="shared" si="40"/>
        <v/>
      </c>
      <c r="BS131" s="23">
        <f t="shared" si="51"/>
        <v>36.605122551475027</v>
      </c>
      <c r="BU131" s="9">
        <v>20</v>
      </c>
      <c r="BW131" s="9">
        <v>0</v>
      </c>
      <c r="BX131" s="9">
        <v>64</v>
      </c>
      <c r="BY131" s="9">
        <v>74</v>
      </c>
      <c r="BZ131" s="9">
        <v>78</v>
      </c>
      <c r="CA131" s="9">
        <v>73</v>
      </c>
      <c r="CB131" s="9">
        <v>53</v>
      </c>
      <c r="CC131" s="9">
        <v>55</v>
      </c>
      <c r="CD131" s="9">
        <v>60</v>
      </c>
      <c r="CE131" s="9">
        <v>42</v>
      </c>
      <c r="CF131" s="9">
        <v>35</v>
      </c>
      <c r="CG131" s="9">
        <v>0</v>
      </c>
      <c r="CH131" s="9">
        <v>0</v>
      </c>
      <c r="CI131" s="9">
        <v>0</v>
      </c>
      <c r="CJ131" s="9">
        <v>0</v>
      </c>
      <c r="CK131" s="12">
        <f t="shared" si="52"/>
        <v>502</v>
      </c>
      <c r="CL131" s="9">
        <f t="shared" si="41"/>
        <v>257</v>
      </c>
      <c r="CM131" s="9">
        <f t="shared" si="42"/>
        <v>0</v>
      </c>
      <c r="CN131" s="9">
        <f t="shared" si="43"/>
        <v>425</v>
      </c>
      <c r="CO131" s="207">
        <f t="shared" si="48"/>
        <v>77</v>
      </c>
      <c r="CQ131" s="9">
        <f t="shared" si="44"/>
        <v>457</v>
      </c>
      <c r="CR131" s="9">
        <f t="shared" si="45"/>
        <v>77</v>
      </c>
    </row>
    <row r="132" spans="1:96" ht="29.25">
      <c r="A132" t="str">
        <f t="shared" ref="A132:A168" si="56">RIGHT(C132,3)</f>
        <v>465</v>
      </c>
      <c r="B132">
        <f t="shared" si="32"/>
        <v>465</v>
      </c>
      <c r="C132" s="15" t="s">
        <v>140</v>
      </c>
      <c r="D132" s="11"/>
      <c r="E132" s="9">
        <f>SUM(21.9938650306748*0.5)</f>
        <v>10.9969325153374</v>
      </c>
      <c r="F132" s="9">
        <v>17.343558282208601</v>
      </c>
      <c r="G132" s="9">
        <v>19.150306748466299</v>
      </c>
      <c r="H132" s="9">
        <v>16.981595092024499</v>
      </c>
      <c r="I132" s="9">
        <v>23.340490797546</v>
      </c>
      <c r="J132" s="9">
        <v>14.5858895705521</v>
      </c>
      <c r="K132" s="9">
        <v>11.4141104294479</v>
      </c>
      <c r="L132" s="9">
        <v>23.5460122699387</v>
      </c>
      <c r="M132" s="9">
        <v>15.460122699386501</v>
      </c>
      <c r="N132" s="9">
        <v>14.668711656441699</v>
      </c>
      <c r="O132" s="9">
        <v>11.965692087866101</v>
      </c>
      <c r="P132" s="9">
        <v>8.7390942925218393</v>
      </c>
      <c r="Q132" s="9">
        <v>13.343558282208599</v>
      </c>
      <c r="R132" s="9">
        <v>0</v>
      </c>
      <c r="S132" s="9">
        <v>0</v>
      </c>
      <c r="T132" s="9">
        <v>0</v>
      </c>
      <c r="U132" s="9">
        <v>0</v>
      </c>
      <c r="V132" s="9">
        <v>0</v>
      </c>
      <c r="W132" s="9">
        <v>0</v>
      </c>
      <c r="X132" s="9">
        <v>0</v>
      </c>
      <c r="Y132" s="9">
        <v>0</v>
      </c>
      <c r="Z132" s="9">
        <v>0</v>
      </c>
      <c r="AA132" s="9">
        <v>0</v>
      </c>
      <c r="AB132" s="9">
        <v>0</v>
      </c>
      <c r="AC132" s="9">
        <v>0</v>
      </c>
      <c r="AD132" s="9">
        <v>0</v>
      </c>
      <c r="AE132" s="9">
        <v>0</v>
      </c>
      <c r="AF132" s="9">
        <v>0</v>
      </c>
      <c r="AG132" s="9">
        <v>0</v>
      </c>
      <c r="AH132" s="9">
        <v>0</v>
      </c>
      <c r="AI132" s="9">
        <v>0</v>
      </c>
      <c r="AJ132" s="9">
        <v>0</v>
      </c>
      <c r="AK132" s="9">
        <v>0</v>
      </c>
      <c r="AL132" s="9">
        <v>0</v>
      </c>
      <c r="AM132" s="9">
        <v>0</v>
      </c>
      <c r="AN132" s="9">
        <v>0</v>
      </c>
      <c r="AO132" s="9">
        <v>0</v>
      </c>
      <c r="AP132" s="9">
        <v>0</v>
      </c>
      <c r="AQ132" s="9">
        <v>0</v>
      </c>
      <c r="AR132" s="9">
        <v>0</v>
      </c>
      <c r="AS132" s="9">
        <v>0</v>
      </c>
      <c r="AT132" s="9">
        <v>0</v>
      </c>
      <c r="AU132" s="9">
        <v>0</v>
      </c>
      <c r="AV132" s="9">
        <v>0</v>
      </c>
      <c r="AW132" s="9">
        <v>0</v>
      </c>
      <c r="AX132" s="9">
        <f t="shared" si="33"/>
        <v>211.61287846014352</v>
      </c>
      <c r="AY132" s="9">
        <f t="shared" si="34"/>
        <v>67.696012269938649</v>
      </c>
      <c r="AZ132" s="9">
        <f t="shared" si="35"/>
        <v>51.152909134990146</v>
      </c>
      <c r="BA132" s="9">
        <f t="shared" si="36"/>
        <v>119.50352760736195</v>
      </c>
      <c r="BB132" s="9">
        <f t="shared" si="37"/>
        <v>92.109350852781631</v>
      </c>
      <c r="BC132" s="20"/>
      <c r="BD132" s="9">
        <v>126</v>
      </c>
      <c r="BF132" s="9">
        <v>125</v>
      </c>
      <c r="BH132" s="9">
        <v>16</v>
      </c>
      <c r="BI132" s="9">
        <f t="shared" si="38"/>
        <v>16</v>
      </c>
      <c r="BJ132" s="9">
        <f t="shared" si="55"/>
        <v>201.5360747239462</v>
      </c>
      <c r="BK132" s="12">
        <f t="shared" ref="BK132:BK161" si="57">IFERROR(BH132*1,SUM(E132:Q132)*$BJ$179)</f>
        <v>16</v>
      </c>
      <c r="BP132" s="9">
        <v>11</v>
      </c>
      <c r="BQ132" s="9">
        <f t="shared" si="39"/>
        <v>11</v>
      </c>
      <c r="BR132" s="12">
        <f t="shared" si="40"/>
        <v>201.5360747239462</v>
      </c>
      <c r="BS132" s="23">
        <f t="shared" ref="BS132:BS161" si="58">IFERROR(BP132*1,SUM(E132:Q132)*$BR$179)</f>
        <v>11</v>
      </c>
      <c r="BU132" s="9">
        <v>0</v>
      </c>
      <c r="BW132" s="9">
        <v>0</v>
      </c>
      <c r="BX132" s="9">
        <v>21</v>
      </c>
      <c r="BY132" s="9">
        <v>20</v>
      </c>
      <c r="BZ132" s="9">
        <v>15</v>
      </c>
      <c r="CA132" s="9">
        <v>21</v>
      </c>
      <c r="CB132" s="9">
        <v>21</v>
      </c>
      <c r="CC132" s="9">
        <v>20</v>
      </c>
      <c r="CD132" s="9">
        <v>18</v>
      </c>
      <c r="CE132" s="9">
        <v>16</v>
      </c>
      <c r="CF132" s="9">
        <v>20</v>
      </c>
      <c r="CG132" s="9">
        <v>10</v>
      </c>
      <c r="CH132" s="9">
        <v>13</v>
      </c>
      <c r="CI132" s="9">
        <v>17</v>
      </c>
      <c r="CJ132" s="9">
        <v>12</v>
      </c>
      <c r="CK132" s="12">
        <f t="shared" ref="CK132:CK168" si="59">SUM(BY132,BZ132,CA132,CB132,CC132,CD132,CE132,CF132,CG132,CH132,CI132,CJ132) + (BX132*0.5)</f>
        <v>213.5</v>
      </c>
      <c r="CL132" s="9">
        <f t="shared" si="41"/>
        <v>66.5</v>
      </c>
      <c r="CM132" s="9">
        <f t="shared" si="42"/>
        <v>52</v>
      </c>
      <c r="CN132" s="9">
        <f t="shared" si="43"/>
        <v>125.5</v>
      </c>
      <c r="CO132" s="207">
        <f t="shared" si="48"/>
        <v>88</v>
      </c>
      <c r="CQ132" s="9">
        <f t="shared" si="44"/>
        <v>136</v>
      </c>
      <c r="CR132" s="9">
        <f t="shared" si="45"/>
        <v>88</v>
      </c>
    </row>
    <row r="133" spans="1:96" ht="29.25">
      <c r="A133" t="str">
        <f t="shared" si="56"/>
        <v>466</v>
      </c>
      <c r="B133">
        <f t="shared" ref="B133:B167" si="60">A133*1</f>
        <v>466</v>
      </c>
      <c r="C133" s="15" t="s">
        <v>141</v>
      </c>
      <c r="D133" s="11"/>
      <c r="E133" s="9">
        <f>SUM(0*0.5)</f>
        <v>0</v>
      </c>
      <c r="F133" s="9">
        <v>0</v>
      </c>
      <c r="G133" s="9">
        <v>0</v>
      </c>
      <c r="H133" s="9">
        <v>0</v>
      </c>
      <c r="I133" s="9">
        <v>0</v>
      </c>
      <c r="J133" s="9">
        <v>0</v>
      </c>
      <c r="K133" s="9">
        <v>0</v>
      </c>
      <c r="L133" s="9">
        <v>0</v>
      </c>
      <c r="M133" s="9">
        <v>0</v>
      </c>
      <c r="N133" s="9">
        <v>57.349397590361399</v>
      </c>
      <c r="O133" s="9">
        <v>95.810240963855406</v>
      </c>
      <c r="P133" s="9">
        <v>115.27409638554199</v>
      </c>
      <c r="Q133" s="9">
        <v>150.59939759036101</v>
      </c>
      <c r="R133" s="9">
        <v>0</v>
      </c>
      <c r="S133" s="9">
        <v>0</v>
      </c>
      <c r="T133" s="9">
        <v>0</v>
      </c>
      <c r="U133" s="9">
        <v>0</v>
      </c>
      <c r="V133" s="9">
        <v>0</v>
      </c>
      <c r="W133" s="9">
        <v>0</v>
      </c>
      <c r="X133" s="9">
        <v>0</v>
      </c>
      <c r="Y133" s="9">
        <v>0</v>
      </c>
      <c r="Z133" s="9">
        <v>0</v>
      </c>
      <c r="AA133" s="9">
        <v>0</v>
      </c>
      <c r="AB133" s="9">
        <v>0</v>
      </c>
      <c r="AC133" s="9">
        <v>0</v>
      </c>
      <c r="AD133" s="9">
        <v>0</v>
      </c>
      <c r="AE133" s="9">
        <v>0</v>
      </c>
      <c r="AF133" s="9">
        <v>0</v>
      </c>
      <c r="AG133" s="9">
        <v>0</v>
      </c>
      <c r="AH133" s="9">
        <v>0</v>
      </c>
      <c r="AI133" s="9">
        <v>0</v>
      </c>
      <c r="AJ133" s="9">
        <v>0</v>
      </c>
      <c r="AK133" s="9">
        <v>0</v>
      </c>
      <c r="AL133" s="9">
        <v>0</v>
      </c>
      <c r="AM133" s="9">
        <v>0</v>
      </c>
      <c r="AN133" s="9">
        <v>0</v>
      </c>
      <c r="AO133" s="9">
        <v>0</v>
      </c>
      <c r="AP133" s="9">
        <v>0</v>
      </c>
      <c r="AQ133" s="9">
        <v>0</v>
      </c>
      <c r="AR133" s="9">
        <v>0</v>
      </c>
      <c r="AS133" s="9">
        <v>0</v>
      </c>
      <c r="AT133" s="9">
        <v>0</v>
      </c>
      <c r="AU133" s="9">
        <v>0</v>
      </c>
      <c r="AV133" s="9">
        <v>0</v>
      </c>
      <c r="AW133" s="9">
        <v>0</v>
      </c>
      <c r="AX133" s="9">
        <f t="shared" ref="AX133:AX176" si="61">SUM(E133:AW133)*1.05</f>
        <v>439.98478915662582</v>
      </c>
      <c r="AY133" s="9">
        <f t="shared" ref="AY133:AY176" si="62">SUM(E133:H133)*1.05</f>
        <v>0</v>
      </c>
      <c r="AZ133" s="9">
        <f t="shared" ref="AZ133:AZ176" si="63">SUM(AT133:AW133,AM133:AP133,AD133:AG133,U133:X133,N133:Q133)*1.05</f>
        <v>439.98478915662582</v>
      </c>
      <c r="BA133" s="9">
        <f t="shared" ref="BA133:BA176" si="64">SUM(E133,AQ133,AH133:AJ133,Y133:AA133,R133,F133:K133)*1.05</f>
        <v>0</v>
      </c>
      <c r="BB133" s="9">
        <f t="shared" ref="BB133:BB176" si="65">SUM(AR133:AW133,AK133:AP133,AB133:AG133,S133:X133,L133:Q133)*1.05</f>
        <v>439.98478915662582</v>
      </c>
      <c r="BC133" s="20"/>
      <c r="BD133" s="9">
        <v>321</v>
      </c>
      <c r="BF133" s="9">
        <v>307</v>
      </c>
      <c r="BH133" s="9">
        <v>49</v>
      </c>
      <c r="BI133" s="9">
        <f t="shared" ref="BI133:BI176" si="66">IFERROR(BH133*1,"")</f>
        <v>49</v>
      </c>
      <c r="BJ133" s="9">
        <f t="shared" si="55"/>
        <v>419.03313253011981</v>
      </c>
      <c r="BK133" s="12">
        <f t="shared" si="57"/>
        <v>49</v>
      </c>
      <c r="BP133" s="9">
        <v>0</v>
      </c>
      <c r="BQ133" s="9">
        <f t="shared" ref="BQ133:BQ176" si="67">IFERROR(BP133*1,"")</f>
        <v>0</v>
      </c>
      <c r="BR133" s="12">
        <f t="shared" ref="BR133:BR176" si="68">IFERROR(IF(BP133=BQ133,SUM(E133:Q133),""),"")</f>
        <v>419.03313253011981</v>
      </c>
      <c r="BS133" s="23">
        <f t="shared" si="58"/>
        <v>0</v>
      </c>
      <c r="BU133" s="9">
        <v>0</v>
      </c>
      <c r="BW133" s="9">
        <v>0</v>
      </c>
      <c r="BX133" s="9">
        <v>0</v>
      </c>
      <c r="BY133" s="9">
        <v>0</v>
      </c>
      <c r="BZ133" s="9">
        <v>0</v>
      </c>
      <c r="CA133" s="9">
        <v>0</v>
      </c>
      <c r="CB133" s="9">
        <v>0</v>
      </c>
      <c r="CC133" s="9">
        <v>0</v>
      </c>
      <c r="CD133" s="9">
        <v>0</v>
      </c>
      <c r="CE133" s="9">
        <v>0</v>
      </c>
      <c r="CF133" s="9">
        <v>0</v>
      </c>
      <c r="CG133" s="9">
        <v>54</v>
      </c>
      <c r="CH133" s="9">
        <v>100</v>
      </c>
      <c r="CI133" s="9">
        <v>154</v>
      </c>
      <c r="CJ133" s="9">
        <v>254</v>
      </c>
      <c r="CK133" s="12">
        <f t="shared" si="59"/>
        <v>562</v>
      </c>
      <c r="CL133" s="9">
        <f t="shared" ref="CL133:CL176" si="69">SUM(BY133:CA133) +( BX133*0.5)</f>
        <v>0</v>
      </c>
      <c r="CM133" s="9">
        <f t="shared" ref="CM133:CM176" si="70">SUM(CG133:CJ133)</f>
        <v>562</v>
      </c>
      <c r="CN133" s="9">
        <f t="shared" ref="CN133:CN176" si="71">SUM(BY133:CD133) + (BX133*0.5)</f>
        <v>0</v>
      </c>
      <c r="CO133" s="207">
        <f t="shared" ref="CO133:CO176" si="72">SUM(CE133:CJ133)</f>
        <v>562</v>
      </c>
      <c r="CQ133" s="9">
        <f t="shared" ref="CQ133:CQ176" si="73">SUM(BX133:CD133)</f>
        <v>0</v>
      </c>
      <c r="CR133" s="9">
        <f t="shared" ref="CR133:CR176" si="74">SUM(CE133:CJ133)</f>
        <v>562</v>
      </c>
    </row>
    <row r="134" spans="1:96" ht="43.5">
      <c r="A134" t="str">
        <f t="shared" si="56"/>
        <v>468</v>
      </c>
      <c r="B134">
        <f t="shared" si="60"/>
        <v>468</v>
      </c>
      <c r="C134" s="15" t="s">
        <v>142</v>
      </c>
      <c r="D134" s="11"/>
      <c r="E134" s="9">
        <f t="shared" ref="E134:E136" si="75">SUM(0*0.5)</f>
        <v>0</v>
      </c>
      <c r="F134" s="9">
        <v>0</v>
      </c>
      <c r="G134" s="9">
        <v>0</v>
      </c>
      <c r="H134" s="9">
        <v>0</v>
      </c>
      <c r="I134" s="9">
        <v>16.851449275362299</v>
      </c>
      <c r="J134" s="9">
        <v>44.471014492753604</v>
      </c>
      <c r="K134" s="9">
        <v>57.634057971014499</v>
      </c>
      <c r="L134" s="9">
        <v>47.318840579710098</v>
      </c>
      <c r="M134" s="9">
        <v>44.101449275362299</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9">
        <v>0</v>
      </c>
      <c r="AF134" s="9">
        <v>0</v>
      </c>
      <c r="AG134" s="9">
        <v>0</v>
      </c>
      <c r="AH134" s="9">
        <v>0</v>
      </c>
      <c r="AI134" s="9">
        <v>0</v>
      </c>
      <c r="AJ134" s="9">
        <v>0</v>
      </c>
      <c r="AK134" s="9">
        <v>0</v>
      </c>
      <c r="AL134" s="9">
        <v>0</v>
      </c>
      <c r="AM134" s="9">
        <v>0</v>
      </c>
      <c r="AN134" s="9">
        <v>0</v>
      </c>
      <c r="AO134" s="9">
        <v>0</v>
      </c>
      <c r="AP134" s="9">
        <v>0</v>
      </c>
      <c r="AQ134" s="9">
        <v>0</v>
      </c>
      <c r="AR134" s="9">
        <v>0</v>
      </c>
      <c r="AS134" s="9">
        <v>0</v>
      </c>
      <c r="AT134" s="9">
        <v>0</v>
      </c>
      <c r="AU134" s="9">
        <v>0</v>
      </c>
      <c r="AV134" s="9">
        <v>0</v>
      </c>
      <c r="AW134" s="9">
        <v>0</v>
      </c>
      <c r="AX134" s="9">
        <f t="shared" si="61"/>
        <v>220.89565217391296</v>
      </c>
      <c r="AY134" s="9">
        <f t="shared" si="62"/>
        <v>0</v>
      </c>
      <c r="AZ134" s="9">
        <f t="shared" si="63"/>
        <v>0</v>
      </c>
      <c r="BA134" s="9">
        <f t="shared" si="64"/>
        <v>124.90434782608693</v>
      </c>
      <c r="BB134" s="9">
        <f t="shared" si="65"/>
        <v>95.991304347826016</v>
      </c>
      <c r="BC134" s="20"/>
      <c r="BD134" s="9">
        <v>151</v>
      </c>
      <c r="BF134" s="9">
        <v>86</v>
      </c>
      <c r="BH134" s="9">
        <v>24</v>
      </c>
      <c r="BI134" s="9">
        <f t="shared" si="66"/>
        <v>24</v>
      </c>
      <c r="BJ134" s="9">
        <f t="shared" si="55"/>
        <v>210.37681159420282</v>
      </c>
      <c r="BK134" s="12">
        <f t="shared" si="57"/>
        <v>24</v>
      </c>
      <c r="BP134" s="9">
        <v>0</v>
      </c>
      <c r="BQ134" s="9">
        <f t="shared" si="67"/>
        <v>0</v>
      </c>
      <c r="BR134" s="12">
        <f t="shared" si="68"/>
        <v>210.37681159420282</v>
      </c>
      <c r="BS134" s="23">
        <f t="shared" si="58"/>
        <v>0</v>
      </c>
      <c r="BU134" s="9">
        <v>0</v>
      </c>
      <c r="BW134" s="9">
        <v>0</v>
      </c>
      <c r="BX134" s="9">
        <v>14</v>
      </c>
      <c r="BY134" s="9">
        <v>11</v>
      </c>
      <c r="BZ134" s="9">
        <v>22</v>
      </c>
      <c r="CA134" s="9">
        <v>22</v>
      </c>
      <c r="CB134" s="9">
        <v>21</v>
      </c>
      <c r="CC134" s="9">
        <v>33</v>
      </c>
      <c r="CD134" s="9">
        <v>60</v>
      </c>
      <c r="CE134" s="9">
        <v>52</v>
      </c>
      <c r="CF134" s="9">
        <v>45</v>
      </c>
      <c r="CG134" s="9">
        <v>0</v>
      </c>
      <c r="CH134" s="9">
        <v>0</v>
      </c>
      <c r="CI134" s="9">
        <v>0</v>
      </c>
      <c r="CJ134" s="9">
        <v>0</v>
      </c>
      <c r="CK134" s="12">
        <f t="shared" si="59"/>
        <v>273</v>
      </c>
      <c r="CL134" s="9">
        <f t="shared" si="69"/>
        <v>62</v>
      </c>
      <c r="CM134" s="9">
        <f t="shared" si="70"/>
        <v>0</v>
      </c>
      <c r="CN134" s="9">
        <f t="shared" si="71"/>
        <v>176</v>
      </c>
      <c r="CO134" s="207">
        <f t="shared" si="72"/>
        <v>97</v>
      </c>
      <c r="CQ134" s="9">
        <f t="shared" si="73"/>
        <v>183</v>
      </c>
      <c r="CR134" s="9">
        <f t="shared" si="74"/>
        <v>97</v>
      </c>
    </row>
    <row r="135" spans="1:96" ht="29.25">
      <c r="A135" t="str">
        <f t="shared" si="56"/>
        <v>469</v>
      </c>
      <c r="B135">
        <f t="shared" si="60"/>
        <v>469</v>
      </c>
      <c r="C135" s="15" t="s">
        <v>143</v>
      </c>
      <c r="D135" s="11"/>
      <c r="E135" s="9">
        <f t="shared" si="75"/>
        <v>0</v>
      </c>
      <c r="F135" s="9">
        <v>0</v>
      </c>
      <c r="G135" s="9">
        <v>0</v>
      </c>
      <c r="H135" s="9">
        <v>0</v>
      </c>
      <c r="I135" s="9">
        <v>0</v>
      </c>
      <c r="J135" s="9">
        <v>0</v>
      </c>
      <c r="K135" s="9">
        <v>2.5614035087719298</v>
      </c>
      <c r="L135" s="9">
        <v>9.2573099415204698</v>
      </c>
      <c r="M135" s="9">
        <v>11.3538011695906</v>
      </c>
      <c r="N135" s="9">
        <v>22.716374269005801</v>
      </c>
      <c r="O135" s="9">
        <v>12.7631578947368</v>
      </c>
      <c r="P135" s="9">
        <v>11.172514619883</v>
      </c>
      <c r="Q135" s="9">
        <v>8.5672514619883007</v>
      </c>
      <c r="R135" s="9">
        <v>1.5010526315789501</v>
      </c>
      <c r="S135" s="9">
        <v>4.2161170209138801</v>
      </c>
      <c r="T135" s="9">
        <v>11.1565932409322</v>
      </c>
      <c r="U135" s="9">
        <v>23.0464936060139</v>
      </c>
      <c r="V135" s="9">
        <v>21.050152686260301</v>
      </c>
      <c r="W135" s="9">
        <v>25.312769866653898</v>
      </c>
      <c r="X135" s="9">
        <v>25.390409356725101</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9">
        <v>0</v>
      </c>
      <c r="AO135" s="9">
        <v>0</v>
      </c>
      <c r="AP135" s="9">
        <v>0</v>
      </c>
      <c r="AQ135" s="9">
        <v>0</v>
      </c>
      <c r="AR135" s="9">
        <v>4.8039215686274499</v>
      </c>
      <c r="AS135" s="9">
        <v>3.84313725490196</v>
      </c>
      <c r="AT135" s="9">
        <v>7.68627450980392</v>
      </c>
      <c r="AU135" s="9">
        <v>11.5294117647059</v>
      </c>
      <c r="AV135" s="9">
        <v>2.8823529411764701</v>
      </c>
      <c r="AW135" s="9">
        <v>4.8039215686274499</v>
      </c>
      <c r="AX135" s="9">
        <f t="shared" si="61"/>
        <v>236.8951419265392</v>
      </c>
      <c r="AY135" s="9">
        <f t="shared" si="62"/>
        <v>0</v>
      </c>
      <c r="AZ135" s="9">
        <f t="shared" si="63"/>
        <v>185.76713877285988</v>
      </c>
      <c r="BA135" s="9">
        <f t="shared" si="64"/>
        <v>4.2655789473684242</v>
      </c>
      <c r="BB135" s="9">
        <f t="shared" si="65"/>
        <v>232.62956297917077</v>
      </c>
      <c r="BC135" s="20"/>
      <c r="BD135" s="9">
        <v>130</v>
      </c>
      <c r="BE135" s="9" t="e">
        <v>#N/A</v>
      </c>
      <c r="BF135" s="9">
        <v>128</v>
      </c>
      <c r="BH135" s="9">
        <v>19</v>
      </c>
      <c r="BI135" s="9">
        <f t="shared" si="66"/>
        <v>19</v>
      </c>
      <c r="BJ135" s="9">
        <f t="shared" si="55"/>
        <v>78.391812865496902</v>
      </c>
      <c r="BK135" s="12">
        <f t="shared" si="57"/>
        <v>19</v>
      </c>
      <c r="BP135" s="9">
        <v>0</v>
      </c>
      <c r="BQ135" s="9">
        <f t="shared" si="67"/>
        <v>0</v>
      </c>
      <c r="BR135" s="12">
        <f t="shared" si="68"/>
        <v>78.391812865496902</v>
      </c>
      <c r="BS135" s="23">
        <f t="shared" si="58"/>
        <v>0</v>
      </c>
      <c r="BU135" s="9">
        <v>0</v>
      </c>
      <c r="BW135" s="9">
        <v>0</v>
      </c>
      <c r="BX135" s="9">
        <v>0</v>
      </c>
      <c r="BY135" s="9">
        <v>0</v>
      </c>
      <c r="BZ135" s="9">
        <v>0</v>
      </c>
      <c r="CA135" s="9">
        <v>0</v>
      </c>
      <c r="CB135" s="9">
        <v>0</v>
      </c>
      <c r="CC135" s="9">
        <v>0</v>
      </c>
      <c r="CD135" s="9">
        <v>6</v>
      </c>
      <c r="CE135" s="9">
        <v>17</v>
      </c>
      <c r="CF135" s="9">
        <v>28</v>
      </c>
      <c r="CG135" s="9">
        <v>38</v>
      </c>
      <c r="CH135" s="9">
        <v>42</v>
      </c>
      <c r="CI135" s="9">
        <v>44</v>
      </c>
      <c r="CJ135" s="9">
        <v>51</v>
      </c>
      <c r="CK135" s="12">
        <f t="shared" si="59"/>
        <v>226</v>
      </c>
      <c r="CL135" s="9">
        <f t="shared" si="69"/>
        <v>0</v>
      </c>
      <c r="CM135" s="9">
        <f t="shared" si="70"/>
        <v>175</v>
      </c>
      <c r="CN135" s="9">
        <f t="shared" si="71"/>
        <v>6</v>
      </c>
      <c r="CO135" s="207">
        <f t="shared" si="72"/>
        <v>220</v>
      </c>
      <c r="CQ135" s="9">
        <f t="shared" si="73"/>
        <v>6</v>
      </c>
      <c r="CR135" s="9">
        <f t="shared" si="74"/>
        <v>220</v>
      </c>
    </row>
    <row r="136" spans="1:96" ht="29.25">
      <c r="A136" t="str">
        <f t="shared" si="56"/>
        <v>470</v>
      </c>
      <c r="B136">
        <f t="shared" si="60"/>
        <v>470</v>
      </c>
      <c r="C136" s="15" t="s">
        <v>144</v>
      </c>
      <c r="D136" s="11"/>
      <c r="E136" s="9">
        <f t="shared" si="75"/>
        <v>0</v>
      </c>
      <c r="F136" s="9">
        <v>0</v>
      </c>
      <c r="G136" s="9">
        <v>0</v>
      </c>
      <c r="H136" s="9">
        <v>0</v>
      </c>
      <c r="I136" s="9">
        <v>0</v>
      </c>
      <c r="J136" s="9">
        <v>0</v>
      </c>
      <c r="K136" s="9">
        <v>0</v>
      </c>
      <c r="L136" s="9">
        <v>0</v>
      </c>
      <c r="M136" s="9">
        <v>0</v>
      </c>
      <c r="N136" s="9">
        <v>0</v>
      </c>
      <c r="O136" s="9">
        <v>0</v>
      </c>
      <c r="P136" s="9">
        <v>0</v>
      </c>
      <c r="Q136" s="9">
        <v>0</v>
      </c>
      <c r="R136" s="9">
        <v>0</v>
      </c>
      <c r="S136" s="9">
        <v>0</v>
      </c>
      <c r="T136" s="9">
        <v>0</v>
      </c>
      <c r="U136" s="9">
        <v>2.5619204089083598</v>
      </c>
      <c r="V136" s="9">
        <v>15.3101483968292</v>
      </c>
      <c r="W136" s="9">
        <v>75.669535808545604</v>
      </c>
      <c r="X136" s="9">
        <v>104.57538566746101</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9">
        <v>0</v>
      </c>
      <c r="AO136" s="9">
        <v>0</v>
      </c>
      <c r="AP136" s="9">
        <v>0</v>
      </c>
      <c r="AQ136" s="9">
        <v>0</v>
      </c>
      <c r="AR136" s="9">
        <v>0</v>
      </c>
      <c r="AS136" s="9">
        <v>0</v>
      </c>
      <c r="AT136" s="9">
        <v>0.74117647058823499</v>
      </c>
      <c r="AU136" s="9">
        <v>6</v>
      </c>
      <c r="AV136" s="9">
        <v>6.1529411764705904</v>
      </c>
      <c r="AW136" s="9">
        <v>6.6823529411764699</v>
      </c>
      <c r="AX136" s="9">
        <f t="shared" si="61"/>
        <v>228.57813391347847</v>
      </c>
      <c r="AY136" s="9">
        <f t="shared" si="62"/>
        <v>0</v>
      </c>
      <c r="AZ136" s="9">
        <f t="shared" si="63"/>
        <v>228.57813391347847</v>
      </c>
      <c r="BA136" s="9">
        <f t="shared" si="64"/>
        <v>0</v>
      </c>
      <c r="BB136" s="9">
        <f t="shared" si="65"/>
        <v>228.57813391347847</v>
      </c>
      <c r="BC136" s="20"/>
      <c r="BD136" s="153">
        <v>136.58000000000001</v>
      </c>
      <c r="BE136" s="21"/>
      <c r="BF136" s="153">
        <v>132.43</v>
      </c>
      <c r="BH136" s="9">
        <v>31</v>
      </c>
      <c r="BI136" s="9">
        <f t="shared" si="66"/>
        <v>31</v>
      </c>
      <c r="BJ136" s="9">
        <f t="shared" si="55"/>
        <v>0</v>
      </c>
      <c r="BK136" s="12">
        <f t="shared" si="57"/>
        <v>31</v>
      </c>
      <c r="BP136" s="9">
        <v>0</v>
      </c>
      <c r="BQ136" s="9">
        <f t="shared" si="67"/>
        <v>0</v>
      </c>
      <c r="BR136" s="12">
        <f t="shared" si="68"/>
        <v>0</v>
      </c>
      <c r="BS136" s="23">
        <f t="shared" si="58"/>
        <v>0</v>
      </c>
      <c r="BU136" s="9">
        <v>0</v>
      </c>
      <c r="BW136" s="9">
        <v>0</v>
      </c>
      <c r="BX136" s="9">
        <v>0</v>
      </c>
      <c r="BY136" s="9">
        <v>0</v>
      </c>
      <c r="BZ136" s="9">
        <v>0</v>
      </c>
      <c r="CA136" s="9">
        <v>0</v>
      </c>
      <c r="CB136" s="9">
        <v>0</v>
      </c>
      <c r="CC136" s="9">
        <v>0</v>
      </c>
      <c r="CD136" s="9">
        <v>0</v>
      </c>
      <c r="CE136" s="9">
        <v>0</v>
      </c>
      <c r="CF136" s="9">
        <v>0</v>
      </c>
      <c r="CG136" s="9">
        <v>4</v>
      </c>
      <c r="CH136" s="9">
        <v>27</v>
      </c>
      <c r="CI136" s="9">
        <v>91</v>
      </c>
      <c r="CJ136" s="9">
        <v>186</v>
      </c>
      <c r="CK136" s="12">
        <f t="shared" si="59"/>
        <v>308</v>
      </c>
      <c r="CL136" s="9">
        <f t="shared" si="69"/>
        <v>0</v>
      </c>
      <c r="CM136" s="9">
        <f t="shared" si="70"/>
        <v>308</v>
      </c>
      <c r="CN136" s="9">
        <f t="shared" si="71"/>
        <v>0</v>
      </c>
      <c r="CO136" s="207">
        <f t="shared" si="72"/>
        <v>308</v>
      </c>
      <c r="CQ136" s="9">
        <f t="shared" si="73"/>
        <v>0</v>
      </c>
      <c r="CR136" s="9">
        <f t="shared" si="74"/>
        <v>308</v>
      </c>
    </row>
    <row r="137" spans="1:96" ht="29.25">
      <c r="A137" t="str">
        <f t="shared" si="56"/>
        <v>472</v>
      </c>
      <c r="B137">
        <f t="shared" si="60"/>
        <v>472</v>
      </c>
      <c r="C137" s="15" t="s">
        <v>145</v>
      </c>
      <c r="D137" s="11"/>
      <c r="E137" s="9">
        <f>SUM(22.6128048780488*0.5)</f>
        <v>11.306402439024399</v>
      </c>
      <c r="F137" s="9">
        <v>22.6615853658537</v>
      </c>
      <c r="G137" s="9">
        <v>21.789634146341498</v>
      </c>
      <c r="H137" s="9">
        <v>22.832317073170699</v>
      </c>
      <c r="I137" s="9">
        <v>22.3170731707317</v>
      </c>
      <c r="J137" s="9">
        <v>14.734756097561</v>
      </c>
      <c r="K137" s="9">
        <v>19.4115853658537</v>
      </c>
      <c r="L137" s="9">
        <v>16.2865853658537</v>
      </c>
      <c r="M137" s="9">
        <v>16.490853658536601</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9">
        <v>0</v>
      </c>
      <c r="AO137" s="9">
        <v>0</v>
      </c>
      <c r="AP137" s="9">
        <v>0</v>
      </c>
      <c r="AQ137" s="9">
        <v>0</v>
      </c>
      <c r="AR137" s="9">
        <v>0</v>
      </c>
      <c r="AS137" s="9">
        <v>0</v>
      </c>
      <c r="AT137" s="9">
        <v>0</v>
      </c>
      <c r="AU137" s="9">
        <v>0</v>
      </c>
      <c r="AV137" s="9">
        <v>0</v>
      </c>
      <c r="AW137" s="9">
        <v>0</v>
      </c>
      <c r="AX137" s="9">
        <f t="shared" si="61"/>
        <v>176.22233231707338</v>
      </c>
      <c r="AY137" s="9">
        <f t="shared" si="62"/>
        <v>82.519435975609824</v>
      </c>
      <c r="AZ137" s="9">
        <f t="shared" si="63"/>
        <v>0</v>
      </c>
      <c r="BA137" s="9">
        <f t="shared" si="64"/>
        <v>141.80602134146355</v>
      </c>
      <c r="BB137" s="9">
        <f t="shared" si="65"/>
        <v>34.416310975609818</v>
      </c>
      <c r="BC137" s="20"/>
      <c r="BD137" s="9">
        <v>50</v>
      </c>
      <c r="BF137" s="9">
        <v>39</v>
      </c>
      <c r="BH137" s="9">
        <v>14</v>
      </c>
      <c r="BI137" s="9">
        <f t="shared" si="66"/>
        <v>14</v>
      </c>
      <c r="BJ137" s="9">
        <f t="shared" si="55"/>
        <v>167.83079268292701</v>
      </c>
      <c r="BK137" s="12">
        <f t="shared" si="57"/>
        <v>14</v>
      </c>
      <c r="BP137" s="9">
        <v>0</v>
      </c>
      <c r="BQ137" s="9">
        <f t="shared" si="67"/>
        <v>0</v>
      </c>
      <c r="BR137" s="12">
        <f t="shared" si="68"/>
        <v>167.83079268292701</v>
      </c>
      <c r="BS137" s="23">
        <f t="shared" si="58"/>
        <v>0</v>
      </c>
      <c r="BU137" s="9">
        <v>12</v>
      </c>
      <c r="BW137" s="9">
        <v>0</v>
      </c>
      <c r="BX137" s="9">
        <v>24</v>
      </c>
      <c r="BY137" s="9">
        <v>22</v>
      </c>
      <c r="BZ137" s="9">
        <v>23</v>
      </c>
      <c r="CA137" s="9">
        <v>23</v>
      </c>
      <c r="CB137" s="9">
        <v>24</v>
      </c>
      <c r="CC137" s="9">
        <v>24</v>
      </c>
      <c r="CD137" s="9">
        <v>13</v>
      </c>
      <c r="CE137" s="9">
        <v>17</v>
      </c>
      <c r="CF137" s="9">
        <v>13</v>
      </c>
      <c r="CG137" s="9">
        <v>0</v>
      </c>
      <c r="CH137" s="9">
        <v>0</v>
      </c>
      <c r="CI137" s="9">
        <v>0</v>
      </c>
      <c r="CJ137" s="9">
        <v>0</v>
      </c>
      <c r="CK137" s="12">
        <f t="shared" si="59"/>
        <v>171</v>
      </c>
      <c r="CL137" s="9">
        <f t="shared" si="69"/>
        <v>80</v>
      </c>
      <c r="CM137" s="9">
        <f t="shared" si="70"/>
        <v>0</v>
      </c>
      <c r="CN137" s="9">
        <f t="shared" si="71"/>
        <v>141</v>
      </c>
      <c r="CO137" s="207">
        <f t="shared" si="72"/>
        <v>30</v>
      </c>
      <c r="CQ137" s="9">
        <f t="shared" si="73"/>
        <v>153</v>
      </c>
      <c r="CR137" s="9">
        <f t="shared" si="74"/>
        <v>30</v>
      </c>
    </row>
    <row r="138" spans="1:96" ht="29.25">
      <c r="A138" t="str">
        <f t="shared" si="56"/>
        <v>473</v>
      </c>
      <c r="B138">
        <f t="shared" si="60"/>
        <v>473</v>
      </c>
      <c r="C138" s="16" t="s">
        <v>146</v>
      </c>
      <c r="D138" s="11"/>
      <c r="E138" s="9">
        <f>SUM(50.6641791044776*0.5)</f>
        <v>25.332089552238799</v>
      </c>
      <c r="F138" s="9">
        <v>46.037037037037003</v>
      </c>
      <c r="G138" s="9">
        <v>47.3888888888889</v>
      </c>
      <c r="H138" s="9">
        <v>44.448148148148199</v>
      </c>
      <c r="I138" s="9">
        <v>55.377777777777801</v>
      </c>
      <c r="J138" s="9">
        <v>50.933333333333302</v>
      </c>
      <c r="K138" s="9">
        <v>50.429629629629602</v>
      </c>
      <c r="L138" s="9">
        <v>30.766666666666701</v>
      </c>
      <c r="M138" s="9">
        <v>16.399999999999999</v>
      </c>
      <c r="N138" s="9">
        <v>0</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9">
        <v>0</v>
      </c>
      <c r="AO138" s="9">
        <v>0</v>
      </c>
      <c r="AP138" s="9">
        <v>0</v>
      </c>
      <c r="AQ138" s="9">
        <v>0</v>
      </c>
      <c r="AR138" s="9">
        <v>0</v>
      </c>
      <c r="AS138" s="9">
        <v>0</v>
      </c>
      <c r="AT138" s="9">
        <v>0</v>
      </c>
      <c r="AU138" s="9">
        <v>0</v>
      </c>
      <c r="AV138" s="9">
        <v>0</v>
      </c>
      <c r="AW138" s="9">
        <v>0</v>
      </c>
      <c r="AX138" s="9">
        <f t="shared" si="61"/>
        <v>385.46924958540626</v>
      </c>
      <c r="AY138" s="9">
        <f t="shared" si="62"/>
        <v>171.36647180762856</v>
      </c>
      <c r="AZ138" s="9">
        <f t="shared" si="63"/>
        <v>0</v>
      </c>
      <c r="BA138" s="9">
        <f t="shared" si="64"/>
        <v>335.94424958540623</v>
      </c>
      <c r="BB138" s="9">
        <f t="shared" si="65"/>
        <v>49.525000000000034</v>
      </c>
      <c r="BC138" s="20"/>
      <c r="BD138" s="9">
        <v>100</v>
      </c>
      <c r="BF138" s="153">
        <v>209.82</v>
      </c>
      <c r="BH138" s="9">
        <v>66</v>
      </c>
      <c r="BI138" s="9">
        <f t="shared" si="66"/>
        <v>66</v>
      </c>
      <c r="BJ138" s="9">
        <f t="shared" si="55"/>
        <v>367.11357103372023</v>
      </c>
      <c r="BK138" s="12">
        <f t="shared" si="57"/>
        <v>66</v>
      </c>
      <c r="BP138" s="9">
        <v>0</v>
      </c>
      <c r="BQ138" s="9">
        <f t="shared" si="67"/>
        <v>0</v>
      </c>
      <c r="BR138" s="12">
        <f t="shared" si="68"/>
        <v>367.11357103372023</v>
      </c>
      <c r="BS138" s="23">
        <f t="shared" si="58"/>
        <v>0</v>
      </c>
      <c r="BU138" s="9">
        <v>0</v>
      </c>
      <c r="BW138" s="9">
        <v>0</v>
      </c>
      <c r="BX138" s="9">
        <v>55</v>
      </c>
      <c r="BY138" s="9">
        <v>56</v>
      </c>
      <c r="BZ138" s="9">
        <v>50</v>
      </c>
      <c r="CA138" s="9">
        <v>49</v>
      </c>
      <c r="CB138" s="9">
        <v>56</v>
      </c>
      <c r="CC138" s="9">
        <v>63</v>
      </c>
      <c r="CD138" s="9">
        <v>55</v>
      </c>
      <c r="CE138" s="9">
        <v>62</v>
      </c>
      <c r="CF138" s="9">
        <v>42</v>
      </c>
      <c r="CG138" s="9">
        <v>0</v>
      </c>
      <c r="CH138" s="9">
        <v>0</v>
      </c>
      <c r="CI138" s="9">
        <v>0</v>
      </c>
      <c r="CJ138" s="9">
        <v>0</v>
      </c>
      <c r="CK138" s="12">
        <f t="shared" si="59"/>
        <v>460.5</v>
      </c>
      <c r="CL138" s="9">
        <f t="shared" si="69"/>
        <v>182.5</v>
      </c>
      <c r="CM138" s="9">
        <f t="shared" si="70"/>
        <v>0</v>
      </c>
      <c r="CN138" s="9">
        <f t="shared" si="71"/>
        <v>356.5</v>
      </c>
      <c r="CO138" s="207">
        <f t="shared" si="72"/>
        <v>104</v>
      </c>
      <c r="CQ138" s="9">
        <f t="shared" si="73"/>
        <v>384</v>
      </c>
      <c r="CR138" s="9">
        <f t="shared" si="74"/>
        <v>104</v>
      </c>
    </row>
    <row r="139" spans="1:96" ht="29.25">
      <c r="A139" t="str">
        <f t="shared" si="56"/>
        <v>474</v>
      </c>
      <c r="B139">
        <f t="shared" si="60"/>
        <v>474</v>
      </c>
      <c r="C139" s="15" t="s">
        <v>147</v>
      </c>
      <c r="D139" s="11"/>
      <c r="E139" s="9">
        <f>SUM(31.4375*0.5)</f>
        <v>15.71875</v>
      </c>
      <c r="F139" s="9">
        <v>29.4</v>
      </c>
      <c r="G139" s="9">
        <v>27.879310344827601</v>
      </c>
      <c r="H139" s="9">
        <v>30.479310344827599</v>
      </c>
      <c r="I139" s="9">
        <v>26.2275862068966</v>
      </c>
      <c r="J139" s="9">
        <v>22.944827586206902</v>
      </c>
      <c r="K139" s="9">
        <v>13.631034482758601</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9">
        <v>0</v>
      </c>
      <c r="AS139" s="9">
        <v>0</v>
      </c>
      <c r="AT139" s="9">
        <v>0</v>
      </c>
      <c r="AU139" s="9">
        <v>0</v>
      </c>
      <c r="AV139" s="9">
        <v>0</v>
      </c>
      <c r="AW139" s="9">
        <v>0</v>
      </c>
      <c r="AX139" s="9">
        <f t="shared" si="61"/>
        <v>174.59485991379316</v>
      </c>
      <c r="AY139" s="9">
        <f t="shared" si="62"/>
        <v>108.65123922413795</v>
      </c>
      <c r="AZ139" s="9">
        <f t="shared" si="63"/>
        <v>0</v>
      </c>
      <c r="BA139" s="9">
        <f t="shared" si="64"/>
        <v>174.59485991379316</v>
      </c>
      <c r="BB139" s="9">
        <f t="shared" si="65"/>
        <v>0</v>
      </c>
      <c r="BC139" s="20"/>
      <c r="BD139" s="9">
        <v>92</v>
      </c>
      <c r="BF139" s="153">
        <v>99.32</v>
      </c>
      <c r="BH139" s="9">
        <v>20</v>
      </c>
      <c r="BI139" s="9">
        <f t="shared" si="66"/>
        <v>20</v>
      </c>
      <c r="BJ139" s="9">
        <f t="shared" si="55"/>
        <v>166.28081896551728</v>
      </c>
      <c r="BK139" s="12">
        <f t="shared" si="57"/>
        <v>20</v>
      </c>
      <c r="BP139" s="9" t="s">
        <v>240</v>
      </c>
      <c r="BQ139" s="9" t="str">
        <f t="shared" si="67"/>
        <v/>
      </c>
      <c r="BR139" s="12" t="str">
        <f t="shared" si="68"/>
        <v/>
      </c>
      <c r="BS139" s="23">
        <f t="shared" si="58"/>
        <v>14.934662727947691</v>
      </c>
      <c r="BU139" s="9">
        <v>8</v>
      </c>
      <c r="BW139" s="9">
        <v>0</v>
      </c>
      <c r="BX139" s="9">
        <v>35</v>
      </c>
      <c r="BY139" s="9">
        <v>43</v>
      </c>
      <c r="BZ139" s="9">
        <v>26</v>
      </c>
      <c r="CA139" s="9">
        <v>33</v>
      </c>
      <c r="CB139" s="9">
        <v>29</v>
      </c>
      <c r="CC139" s="9">
        <v>24</v>
      </c>
      <c r="CD139" s="9">
        <v>23</v>
      </c>
      <c r="CE139" s="9">
        <v>14</v>
      </c>
      <c r="CF139" s="9">
        <v>4</v>
      </c>
      <c r="CG139" s="9">
        <v>0</v>
      </c>
      <c r="CH139" s="9">
        <v>0</v>
      </c>
      <c r="CI139" s="9">
        <v>0</v>
      </c>
      <c r="CJ139" s="9">
        <v>0</v>
      </c>
      <c r="CK139" s="12">
        <f t="shared" si="59"/>
        <v>213.5</v>
      </c>
      <c r="CL139" s="9">
        <f t="shared" si="69"/>
        <v>119.5</v>
      </c>
      <c r="CM139" s="9">
        <f t="shared" si="70"/>
        <v>0</v>
      </c>
      <c r="CN139" s="9">
        <f t="shared" si="71"/>
        <v>195.5</v>
      </c>
      <c r="CO139" s="207">
        <f t="shared" si="72"/>
        <v>18</v>
      </c>
      <c r="CQ139" s="9">
        <f t="shared" si="73"/>
        <v>213</v>
      </c>
      <c r="CR139" s="9">
        <f t="shared" si="74"/>
        <v>18</v>
      </c>
    </row>
    <row r="140" spans="1:96" ht="29.25">
      <c r="A140" t="str">
        <f t="shared" si="56"/>
        <v>475</v>
      </c>
      <c r="B140">
        <f t="shared" si="60"/>
        <v>475</v>
      </c>
      <c r="C140" s="15" t="s">
        <v>148</v>
      </c>
      <c r="D140" s="11"/>
      <c r="E140" s="9">
        <f>SUM(76.1912751677852*0.5)</f>
        <v>38.095637583892596</v>
      </c>
      <c r="F140" s="9">
        <v>76.214765100671102</v>
      </c>
      <c r="G140" s="9">
        <v>69.291946308724803</v>
      </c>
      <c r="H140" s="9">
        <v>69.3825503355705</v>
      </c>
      <c r="I140" s="9">
        <v>74.466442953020106</v>
      </c>
      <c r="J140" s="9">
        <v>75.016778523489904</v>
      </c>
      <c r="K140" s="9">
        <v>90.714765100671102</v>
      </c>
      <c r="L140" s="9">
        <v>96.308724832214807</v>
      </c>
      <c r="M140" s="9">
        <v>84.859060402684605</v>
      </c>
      <c r="N140" s="9">
        <v>73.1174496644295</v>
      </c>
      <c r="O140" s="9">
        <v>58.604026845637598</v>
      </c>
      <c r="P140" s="9">
        <v>49.932885906040298</v>
      </c>
      <c r="Q140" s="9">
        <v>53.798657718120801</v>
      </c>
      <c r="R140" s="9">
        <v>0</v>
      </c>
      <c r="S140" s="9">
        <v>0</v>
      </c>
      <c r="T140" s="9">
        <v>0</v>
      </c>
      <c r="U140" s="9">
        <v>0</v>
      </c>
      <c r="V140" s="9">
        <v>0</v>
      </c>
      <c r="W140" s="9">
        <v>0</v>
      </c>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9">
        <v>0</v>
      </c>
      <c r="AO140" s="9">
        <v>0</v>
      </c>
      <c r="AP140" s="9">
        <v>0</v>
      </c>
      <c r="AQ140" s="9">
        <v>0</v>
      </c>
      <c r="AR140" s="9">
        <v>0</v>
      </c>
      <c r="AS140" s="9">
        <v>0</v>
      </c>
      <c r="AT140" s="9">
        <v>0</v>
      </c>
      <c r="AU140" s="9">
        <v>0</v>
      </c>
      <c r="AV140" s="9">
        <v>0</v>
      </c>
      <c r="AW140" s="9">
        <v>0</v>
      </c>
      <c r="AX140" s="9">
        <f t="shared" si="61"/>
        <v>955.29387583892606</v>
      </c>
      <c r="AY140" s="9">
        <f t="shared" si="62"/>
        <v>265.63414429530195</v>
      </c>
      <c r="AZ140" s="9">
        <f t="shared" si="63"/>
        <v>247.22567114093962</v>
      </c>
      <c r="BA140" s="9">
        <f t="shared" si="64"/>
        <v>517.84203020134214</v>
      </c>
      <c r="BB140" s="9">
        <f t="shared" si="65"/>
        <v>437.45184563758403</v>
      </c>
      <c r="BC140" s="20"/>
      <c r="BD140" s="9">
        <v>266</v>
      </c>
      <c r="BF140" s="9">
        <v>360</v>
      </c>
      <c r="BH140" s="9">
        <v>63</v>
      </c>
      <c r="BI140" s="9">
        <f t="shared" si="66"/>
        <v>63</v>
      </c>
      <c r="BJ140" s="9">
        <f t="shared" si="55"/>
        <v>909.80369127516758</v>
      </c>
      <c r="BK140" s="12">
        <f t="shared" si="57"/>
        <v>63</v>
      </c>
      <c r="BP140" s="9">
        <v>17</v>
      </c>
      <c r="BQ140" s="9">
        <f t="shared" si="67"/>
        <v>17</v>
      </c>
      <c r="BR140" s="12">
        <f t="shared" si="68"/>
        <v>909.80369127516758</v>
      </c>
      <c r="BS140" s="23">
        <f t="shared" si="58"/>
        <v>17</v>
      </c>
      <c r="BU140" s="9">
        <v>0</v>
      </c>
      <c r="BW140" s="9">
        <v>0</v>
      </c>
      <c r="BX140" s="9">
        <v>79</v>
      </c>
      <c r="BY140" s="9">
        <v>80</v>
      </c>
      <c r="BZ140" s="9">
        <v>71</v>
      </c>
      <c r="CA140" s="9">
        <v>72</v>
      </c>
      <c r="CB140" s="9">
        <v>78</v>
      </c>
      <c r="CC140" s="9">
        <v>78</v>
      </c>
      <c r="CD140" s="9">
        <v>105</v>
      </c>
      <c r="CE140" s="9">
        <v>93</v>
      </c>
      <c r="CF140" s="9">
        <v>101</v>
      </c>
      <c r="CG140" s="9">
        <v>88</v>
      </c>
      <c r="CH140" s="9">
        <v>50</v>
      </c>
      <c r="CI140" s="9">
        <v>54</v>
      </c>
      <c r="CJ140" s="9">
        <v>47</v>
      </c>
      <c r="CK140" s="12">
        <f t="shared" si="59"/>
        <v>956.5</v>
      </c>
      <c r="CL140" s="9">
        <f t="shared" si="69"/>
        <v>262.5</v>
      </c>
      <c r="CM140" s="9">
        <f t="shared" si="70"/>
        <v>239</v>
      </c>
      <c r="CN140" s="9">
        <f t="shared" si="71"/>
        <v>523.5</v>
      </c>
      <c r="CO140" s="207">
        <f t="shared" si="72"/>
        <v>433</v>
      </c>
      <c r="CQ140" s="9">
        <f t="shared" si="73"/>
        <v>563</v>
      </c>
      <c r="CR140" s="9">
        <f t="shared" si="74"/>
        <v>433</v>
      </c>
    </row>
    <row r="141" spans="1:96" ht="29.25">
      <c r="A141" t="str">
        <f t="shared" si="56"/>
        <v>476</v>
      </c>
      <c r="B141">
        <f t="shared" si="60"/>
        <v>476</v>
      </c>
      <c r="C141" s="15" t="s">
        <v>149</v>
      </c>
      <c r="D141" s="11"/>
      <c r="E141" s="9">
        <f>SUM(7.26190476190476*0.5)</f>
        <v>3.63095238095238</v>
      </c>
      <c r="F141" s="9">
        <v>6.9760479041916197</v>
      </c>
      <c r="G141" s="9">
        <v>12.682634730538901</v>
      </c>
      <c r="H141" s="9">
        <v>11.7005988023952</v>
      </c>
      <c r="I141" s="9">
        <v>12.1586826347305</v>
      </c>
      <c r="J141" s="9">
        <v>11.227544910179599</v>
      </c>
      <c r="K141" s="9">
        <v>29.544910179640699</v>
      </c>
      <c r="L141" s="9">
        <v>51.739520958083801</v>
      </c>
      <c r="M141" s="9">
        <v>42.416167664670702</v>
      </c>
      <c r="N141" s="9">
        <v>70.994011976047901</v>
      </c>
      <c r="O141" s="9">
        <v>73.008982035928099</v>
      </c>
      <c r="P141" s="9">
        <v>63.095808383233503</v>
      </c>
      <c r="Q141" s="9">
        <v>81.251497005988</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1.6352941176470599</v>
      </c>
      <c r="AS141" s="9">
        <v>2.5882352941176499</v>
      </c>
      <c r="AT141" s="9">
        <v>7.2</v>
      </c>
      <c r="AU141" s="9">
        <v>7.50588235294118</v>
      </c>
      <c r="AV141" s="9">
        <v>8.3764705882352892</v>
      </c>
      <c r="AW141" s="9">
        <v>7.1411764705882401</v>
      </c>
      <c r="AX141" s="9">
        <f t="shared" si="61"/>
        <v>530.1181393096158</v>
      </c>
      <c r="AY141" s="9">
        <f t="shared" si="62"/>
        <v>36.739745508982011</v>
      </c>
      <c r="AZ141" s="9">
        <f t="shared" si="63"/>
        <v>334.50252025361038</v>
      </c>
      <c r="BA141" s="9">
        <f t="shared" si="64"/>
        <v>92.317440119760349</v>
      </c>
      <c r="BB141" s="9">
        <f t="shared" si="65"/>
        <v>437.80069918985555</v>
      </c>
      <c r="BC141" s="20"/>
      <c r="BD141" s="9">
        <v>369</v>
      </c>
      <c r="BF141" s="9">
        <v>133</v>
      </c>
      <c r="BH141" s="9">
        <v>153</v>
      </c>
      <c r="BI141" s="9">
        <f t="shared" si="66"/>
        <v>153</v>
      </c>
      <c r="BJ141" s="9">
        <f t="shared" si="55"/>
        <v>470.42735956658089</v>
      </c>
      <c r="BK141" s="12">
        <f t="shared" si="57"/>
        <v>153</v>
      </c>
      <c r="BP141" s="9">
        <v>7</v>
      </c>
      <c r="BQ141" s="9">
        <f t="shared" si="67"/>
        <v>7</v>
      </c>
      <c r="BR141" s="12">
        <f t="shared" si="68"/>
        <v>470.42735956658089</v>
      </c>
      <c r="BS141" s="23">
        <f t="shared" si="58"/>
        <v>7</v>
      </c>
      <c r="BU141" s="9">
        <v>0</v>
      </c>
      <c r="BW141" s="9">
        <v>0</v>
      </c>
      <c r="BX141" s="9">
        <v>10</v>
      </c>
      <c r="BY141" s="9">
        <v>18</v>
      </c>
      <c r="BZ141" s="9">
        <v>13</v>
      </c>
      <c r="CA141" s="9">
        <v>21</v>
      </c>
      <c r="CB141" s="9">
        <v>16</v>
      </c>
      <c r="CC141" s="9">
        <v>18</v>
      </c>
      <c r="CD141" s="9">
        <v>29</v>
      </c>
      <c r="CE141" s="9">
        <v>52</v>
      </c>
      <c r="CF141" s="9">
        <v>62</v>
      </c>
      <c r="CG141" s="9">
        <v>68</v>
      </c>
      <c r="CH141" s="9">
        <v>81</v>
      </c>
      <c r="CI141" s="9">
        <v>80</v>
      </c>
      <c r="CJ141" s="9">
        <v>64</v>
      </c>
      <c r="CK141" s="12">
        <f t="shared" si="59"/>
        <v>527</v>
      </c>
      <c r="CL141" s="9">
        <f t="shared" si="69"/>
        <v>57</v>
      </c>
      <c r="CM141" s="9">
        <f t="shared" si="70"/>
        <v>293</v>
      </c>
      <c r="CN141" s="9">
        <f t="shared" si="71"/>
        <v>120</v>
      </c>
      <c r="CO141" s="207">
        <f t="shared" si="72"/>
        <v>407</v>
      </c>
      <c r="CQ141" s="9">
        <f t="shared" si="73"/>
        <v>125</v>
      </c>
      <c r="CR141" s="9">
        <f t="shared" si="74"/>
        <v>407</v>
      </c>
    </row>
    <row r="142" spans="1:96" ht="43.5">
      <c r="A142" t="str">
        <f t="shared" si="56"/>
        <v>477</v>
      </c>
      <c r="B142">
        <f t="shared" si="60"/>
        <v>477</v>
      </c>
      <c r="C142" s="16" t="s">
        <v>150</v>
      </c>
      <c r="D142" s="11"/>
      <c r="E142" s="9">
        <f>SUM(92.9*0.5)</f>
        <v>46.45</v>
      </c>
      <c r="F142" s="9">
        <v>86.234265734265705</v>
      </c>
      <c r="G142" s="9">
        <v>85.699300699300693</v>
      </c>
      <c r="H142" s="9">
        <v>73.377622377622401</v>
      </c>
      <c r="I142" s="9">
        <v>71.958041958042003</v>
      </c>
      <c r="J142" s="9">
        <v>47.7604166666667</v>
      </c>
      <c r="K142" s="9">
        <v>51.8576388888889</v>
      </c>
      <c r="L142" s="9">
        <v>37.8229166666667</v>
      </c>
      <c r="M142" s="9">
        <v>30.6527777777778</v>
      </c>
      <c r="N142" s="9">
        <v>0</v>
      </c>
      <c r="O142" s="9">
        <v>0</v>
      </c>
      <c r="P142" s="9">
        <v>0</v>
      </c>
      <c r="Q142" s="9">
        <v>0</v>
      </c>
      <c r="R142" s="9">
        <v>0</v>
      </c>
      <c r="S142" s="9">
        <v>0</v>
      </c>
      <c r="T142" s="9">
        <v>0</v>
      </c>
      <c r="U142" s="9">
        <v>0</v>
      </c>
      <c r="V142" s="9">
        <v>0</v>
      </c>
      <c r="W142" s="9">
        <v>0</v>
      </c>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9">
        <v>0</v>
      </c>
      <c r="AO142" s="9">
        <v>0</v>
      </c>
      <c r="AP142" s="9">
        <v>0</v>
      </c>
      <c r="AQ142" s="9">
        <v>0</v>
      </c>
      <c r="AR142" s="9">
        <v>0</v>
      </c>
      <c r="AS142" s="9">
        <v>0</v>
      </c>
      <c r="AT142" s="9">
        <v>0</v>
      </c>
      <c r="AU142" s="9">
        <v>0</v>
      </c>
      <c r="AV142" s="9">
        <v>0</v>
      </c>
      <c r="AW142" s="9">
        <v>0</v>
      </c>
      <c r="AX142" s="9">
        <f t="shared" si="61"/>
        <v>558.40362980769248</v>
      </c>
      <c r="AY142" s="9">
        <f t="shared" si="62"/>
        <v>306.34924825174824</v>
      </c>
      <c r="AZ142" s="9">
        <f t="shared" si="63"/>
        <v>0</v>
      </c>
      <c r="BA142" s="9">
        <f t="shared" si="64"/>
        <v>486.50415064102572</v>
      </c>
      <c r="BB142" s="9">
        <f t="shared" si="65"/>
        <v>71.899479166666723</v>
      </c>
      <c r="BC142" s="20"/>
      <c r="BD142" s="9">
        <v>309</v>
      </c>
      <c r="BF142" s="9">
        <v>280</v>
      </c>
      <c r="BH142" s="9">
        <v>58</v>
      </c>
      <c r="BI142" s="9">
        <f t="shared" si="66"/>
        <v>58</v>
      </c>
      <c r="BJ142" s="9">
        <f t="shared" si="55"/>
        <v>531.81298076923088</v>
      </c>
      <c r="BK142" s="12">
        <f t="shared" si="57"/>
        <v>58</v>
      </c>
      <c r="BP142" s="9">
        <v>16</v>
      </c>
      <c r="BQ142" s="9">
        <f t="shared" si="67"/>
        <v>16</v>
      </c>
      <c r="BR142" s="12">
        <f t="shared" si="68"/>
        <v>531.81298076923088</v>
      </c>
      <c r="BS142" s="23">
        <f t="shared" si="58"/>
        <v>16</v>
      </c>
      <c r="BU142" s="9">
        <v>29</v>
      </c>
      <c r="BW142" s="9">
        <v>0</v>
      </c>
      <c r="BX142" s="9">
        <v>98</v>
      </c>
      <c r="BY142" s="9">
        <v>95</v>
      </c>
      <c r="BZ142" s="9">
        <v>86</v>
      </c>
      <c r="CA142" s="9">
        <v>84</v>
      </c>
      <c r="CB142" s="9">
        <v>63</v>
      </c>
      <c r="CC142" s="9">
        <v>62</v>
      </c>
      <c r="CD142" s="9">
        <v>52</v>
      </c>
      <c r="CE142" s="9">
        <v>56</v>
      </c>
      <c r="CF142" s="9">
        <v>44</v>
      </c>
      <c r="CG142" s="9">
        <v>0</v>
      </c>
      <c r="CH142" s="9">
        <v>0</v>
      </c>
      <c r="CI142" s="9">
        <v>0</v>
      </c>
      <c r="CJ142" s="9">
        <v>0</v>
      </c>
      <c r="CK142" s="12">
        <f t="shared" si="59"/>
        <v>591</v>
      </c>
      <c r="CL142" s="9">
        <f t="shared" si="69"/>
        <v>314</v>
      </c>
      <c r="CM142" s="9">
        <f t="shared" si="70"/>
        <v>0</v>
      </c>
      <c r="CN142" s="9">
        <f t="shared" si="71"/>
        <v>491</v>
      </c>
      <c r="CO142" s="207">
        <f t="shared" si="72"/>
        <v>100</v>
      </c>
      <c r="CQ142" s="9">
        <f t="shared" si="73"/>
        <v>540</v>
      </c>
      <c r="CR142" s="9">
        <f t="shared" si="74"/>
        <v>100</v>
      </c>
    </row>
    <row r="143" spans="1:96" ht="29.25">
      <c r="A143" t="str">
        <f t="shared" si="56"/>
        <v>478</v>
      </c>
      <c r="B143">
        <f t="shared" si="60"/>
        <v>478</v>
      </c>
      <c r="C143" s="15" t="s">
        <v>151</v>
      </c>
      <c r="D143" s="11"/>
      <c r="E143" s="9">
        <f>SUM(23.7441860465116*0.5)</f>
        <v>11.8720930232558</v>
      </c>
      <c r="F143" s="9">
        <v>27.1540697674419</v>
      </c>
      <c r="G143" s="9">
        <v>29.191860465116299</v>
      </c>
      <c r="H143" s="9">
        <v>29.4011627906977</v>
      </c>
      <c r="I143" s="9">
        <v>32.174418604651201</v>
      </c>
      <c r="J143" s="9">
        <v>32.165697674418603</v>
      </c>
      <c r="K143" s="9">
        <v>44.037790697674403</v>
      </c>
      <c r="L143" s="9">
        <v>44.255813953488399</v>
      </c>
      <c r="M143" s="9">
        <v>37.406976744185997</v>
      </c>
      <c r="N143" s="9">
        <v>0</v>
      </c>
      <c r="O143" s="9">
        <v>0</v>
      </c>
      <c r="P143" s="9">
        <v>0</v>
      </c>
      <c r="Q143" s="9">
        <v>0</v>
      </c>
      <c r="R143" s="9">
        <v>0</v>
      </c>
      <c r="S143" s="9">
        <v>0</v>
      </c>
      <c r="T143" s="9">
        <v>0</v>
      </c>
      <c r="U143" s="9">
        <v>0</v>
      </c>
      <c r="V143" s="9">
        <v>0</v>
      </c>
      <c r="W143" s="9">
        <v>0</v>
      </c>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9">
        <v>0</v>
      </c>
      <c r="AO143" s="9">
        <v>0</v>
      </c>
      <c r="AP143" s="9">
        <v>0</v>
      </c>
      <c r="AQ143" s="9">
        <v>0</v>
      </c>
      <c r="AR143" s="9">
        <v>0</v>
      </c>
      <c r="AS143" s="9">
        <v>0</v>
      </c>
      <c r="AT143" s="9">
        <v>0</v>
      </c>
      <c r="AU143" s="9">
        <v>0</v>
      </c>
      <c r="AV143" s="9">
        <v>0</v>
      </c>
      <c r="AW143" s="9">
        <v>0</v>
      </c>
      <c r="AX143" s="9">
        <f t="shared" si="61"/>
        <v>302.0428779069768</v>
      </c>
      <c r="AY143" s="9">
        <f t="shared" si="62"/>
        <v>102.50014534883728</v>
      </c>
      <c r="AZ143" s="9">
        <f t="shared" si="63"/>
        <v>0</v>
      </c>
      <c r="BA143" s="9">
        <f t="shared" si="64"/>
        <v>216.2969476744187</v>
      </c>
      <c r="BB143" s="9">
        <f t="shared" si="65"/>
        <v>85.745930232558123</v>
      </c>
      <c r="BC143" s="20"/>
      <c r="BD143" s="9">
        <v>103</v>
      </c>
      <c r="BF143" s="9">
        <v>108</v>
      </c>
      <c r="BH143" s="9">
        <v>23</v>
      </c>
      <c r="BI143" s="9">
        <f t="shared" si="66"/>
        <v>23</v>
      </c>
      <c r="BJ143" s="9">
        <f t="shared" si="55"/>
        <v>287.65988372093028</v>
      </c>
      <c r="BK143" s="12">
        <f t="shared" si="57"/>
        <v>23</v>
      </c>
      <c r="BP143" s="9">
        <v>0</v>
      </c>
      <c r="BQ143" s="9">
        <f t="shared" si="67"/>
        <v>0</v>
      </c>
      <c r="BR143" s="12">
        <f t="shared" si="68"/>
        <v>287.65988372093028</v>
      </c>
      <c r="BS143" s="23">
        <f t="shared" si="58"/>
        <v>0</v>
      </c>
      <c r="BU143" s="9">
        <v>0</v>
      </c>
      <c r="BW143" s="9">
        <v>0</v>
      </c>
      <c r="BX143" s="9">
        <v>24</v>
      </c>
      <c r="BY143" s="9">
        <v>28</v>
      </c>
      <c r="BZ143" s="9">
        <v>30</v>
      </c>
      <c r="CA143" s="9">
        <v>30</v>
      </c>
      <c r="CB143" s="9">
        <v>33</v>
      </c>
      <c r="CC143" s="9">
        <v>31</v>
      </c>
      <c r="CD143" s="9">
        <v>50</v>
      </c>
      <c r="CE143" s="9">
        <v>44</v>
      </c>
      <c r="CF143" s="9">
        <v>29</v>
      </c>
      <c r="CG143" s="9">
        <v>0</v>
      </c>
      <c r="CH143" s="9">
        <v>0</v>
      </c>
      <c r="CI143" s="9">
        <v>0</v>
      </c>
      <c r="CJ143" s="9">
        <v>0</v>
      </c>
      <c r="CK143" s="12">
        <f t="shared" si="59"/>
        <v>287</v>
      </c>
      <c r="CL143" s="9">
        <f t="shared" si="69"/>
        <v>100</v>
      </c>
      <c r="CM143" s="9">
        <f t="shared" si="70"/>
        <v>0</v>
      </c>
      <c r="CN143" s="9">
        <f t="shared" si="71"/>
        <v>214</v>
      </c>
      <c r="CO143" s="207">
        <f t="shared" si="72"/>
        <v>73</v>
      </c>
      <c r="CQ143" s="9">
        <f t="shared" si="73"/>
        <v>226</v>
      </c>
      <c r="CR143" s="9">
        <f t="shared" si="74"/>
        <v>73</v>
      </c>
    </row>
    <row r="144" spans="1:96" ht="29.25">
      <c r="A144" t="str">
        <f t="shared" si="56"/>
        <v>479</v>
      </c>
      <c r="B144">
        <f t="shared" si="60"/>
        <v>479</v>
      </c>
      <c r="C144" s="15" t="s">
        <v>152</v>
      </c>
      <c r="D144" s="11"/>
      <c r="E144" s="9">
        <f>SUM(15.7573529411765*0.5)</f>
        <v>7.8786764705882497</v>
      </c>
      <c r="F144" s="9">
        <v>16.073529411764699</v>
      </c>
      <c r="G144" s="9">
        <v>8.8676470588235308</v>
      </c>
      <c r="H144" s="9">
        <v>15.132352941176499</v>
      </c>
      <c r="I144" s="9">
        <v>18.595588235294102</v>
      </c>
      <c r="J144" s="9">
        <v>13.036764705882399</v>
      </c>
      <c r="K144" s="9">
        <v>24.485294117647101</v>
      </c>
      <c r="L144" s="9">
        <v>19.194852941176499</v>
      </c>
      <c r="M144" s="9">
        <v>15.3786764705882</v>
      </c>
      <c r="N144" s="9">
        <v>0</v>
      </c>
      <c r="O144" s="9">
        <v>0</v>
      </c>
      <c r="P144" s="9">
        <v>0</v>
      </c>
      <c r="Q144" s="9">
        <v>0</v>
      </c>
      <c r="R144" s="9">
        <v>0</v>
      </c>
      <c r="S144" s="9">
        <v>0</v>
      </c>
      <c r="T144" s="9">
        <v>0</v>
      </c>
      <c r="U144" s="9">
        <v>0</v>
      </c>
      <c r="V144" s="9">
        <v>0</v>
      </c>
      <c r="W144" s="9">
        <v>0</v>
      </c>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9">
        <v>0</v>
      </c>
      <c r="AO144" s="9">
        <v>0</v>
      </c>
      <c r="AP144" s="9">
        <v>0</v>
      </c>
      <c r="AQ144" s="9">
        <v>0</v>
      </c>
      <c r="AR144" s="9">
        <v>0</v>
      </c>
      <c r="AS144" s="9">
        <v>0</v>
      </c>
      <c r="AT144" s="9">
        <v>0</v>
      </c>
      <c r="AU144" s="9">
        <v>0</v>
      </c>
      <c r="AV144" s="9">
        <v>0</v>
      </c>
      <c r="AW144" s="9">
        <v>0</v>
      </c>
      <c r="AX144" s="9">
        <f t="shared" si="61"/>
        <v>145.57555147058835</v>
      </c>
      <c r="AY144" s="9">
        <f t="shared" si="62"/>
        <v>50.349816176470625</v>
      </c>
      <c r="AZ144" s="9">
        <f t="shared" si="63"/>
        <v>0</v>
      </c>
      <c r="BA144" s="9">
        <f t="shared" si="64"/>
        <v>109.27334558823541</v>
      </c>
      <c r="BB144" s="9">
        <f t="shared" si="65"/>
        <v>36.302205882352929</v>
      </c>
      <c r="BC144" s="20"/>
      <c r="BD144" s="9">
        <v>171</v>
      </c>
      <c r="BF144" s="153">
        <v>73.95</v>
      </c>
      <c r="BH144" s="9">
        <v>29</v>
      </c>
      <c r="BI144" s="9">
        <f t="shared" si="66"/>
        <v>29</v>
      </c>
      <c r="BJ144" s="9">
        <f t="shared" si="55"/>
        <v>138.64338235294127</v>
      </c>
      <c r="BK144" s="12">
        <f t="shared" si="57"/>
        <v>29</v>
      </c>
      <c r="BP144" s="9" t="s">
        <v>240</v>
      </c>
      <c r="BQ144" s="9" t="str">
        <f t="shared" si="67"/>
        <v/>
      </c>
      <c r="BR144" s="12" t="str">
        <f t="shared" si="68"/>
        <v/>
      </c>
      <c r="BS144" s="23">
        <f t="shared" si="58"/>
        <v>12.452381265529278</v>
      </c>
      <c r="BU144" s="9">
        <v>18</v>
      </c>
      <c r="BW144" s="9">
        <v>0</v>
      </c>
      <c r="BX144" s="9">
        <v>22</v>
      </c>
      <c r="BY144" s="9">
        <v>20</v>
      </c>
      <c r="BZ144" s="9">
        <v>14</v>
      </c>
      <c r="CA144" s="9">
        <v>12</v>
      </c>
      <c r="CB144" s="9">
        <v>18</v>
      </c>
      <c r="CC144" s="9">
        <v>22</v>
      </c>
      <c r="CD144" s="9">
        <v>14</v>
      </c>
      <c r="CE144" s="9">
        <v>25</v>
      </c>
      <c r="CF144" s="9">
        <v>25</v>
      </c>
      <c r="CG144" s="9">
        <v>0</v>
      </c>
      <c r="CH144" s="9">
        <v>0</v>
      </c>
      <c r="CI144" s="9">
        <v>0</v>
      </c>
      <c r="CJ144" s="9">
        <v>0</v>
      </c>
      <c r="CK144" s="12">
        <f t="shared" si="59"/>
        <v>161</v>
      </c>
      <c r="CL144" s="9">
        <f t="shared" si="69"/>
        <v>57</v>
      </c>
      <c r="CM144" s="9">
        <f t="shared" si="70"/>
        <v>0</v>
      </c>
      <c r="CN144" s="9">
        <f t="shared" si="71"/>
        <v>111</v>
      </c>
      <c r="CO144" s="207">
        <f t="shared" si="72"/>
        <v>50</v>
      </c>
      <c r="CQ144" s="9">
        <f t="shared" si="73"/>
        <v>122</v>
      </c>
      <c r="CR144" s="9">
        <f t="shared" si="74"/>
        <v>50</v>
      </c>
    </row>
    <row r="145" spans="1:96" ht="29.25">
      <c r="A145" t="str">
        <f t="shared" si="56"/>
        <v>480</v>
      </c>
      <c r="B145">
        <f t="shared" si="60"/>
        <v>480</v>
      </c>
      <c r="C145" s="15" t="s">
        <v>153</v>
      </c>
      <c r="D145" s="11"/>
      <c r="E145" s="9">
        <f>SUM(41.4892086330935*0.5)</f>
        <v>20.744604316546749</v>
      </c>
      <c r="F145" s="9">
        <v>49.460431654676299</v>
      </c>
      <c r="G145" s="9">
        <v>49.600719424460401</v>
      </c>
      <c r="H145" s="9">
        <v>46.395683453237403</v>
      </c>
      <c r="I145" s="9">
        <v>54.071942446043202</v>
      </c>
      <c r="J145" s="9">
        <v>55.3381294964029</v>
      </c>
      <c r="K145" s="9">
        <v>52.805755395683498</v>
      </c>
      <c r="L145" s="9">
        <v>39.187050359712202</v>
      </c>
      <c r="M145" s="9">
        <v>25.136690647481998</v>
      </c>
      <c r="N145" s="9">
        <v>16.032374100719402</v>
      </c>
      <c r="O145" s="9">
        <v>9.8129496402877692</v>
      </c>
      <c r="P145" s="9">
        <v>7.2841726618704996</v>
      </c>
      <c r="Q145" s="9">
        <v>6.9100719424460397</v>
      </c>
      <c r="R145" s="9">
        <v>0</v>
      </c>
      <c r="S145" s="9">
        <v>0</v>
      </c>
      <c r="T145" s="9">
        <v>0</v>
      </c>
      <c r="U145" s="9">
        <v>0</v>
      </c>
      <c r="V145" s="9">
        <v>0</v>
      </c>
      <c r="W145" s="9">
        <v>0</v>
      </c>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9">
        <v>0</v>
      </c>
      <c r="AO145" s="9">
        <v>0</v>
      </c>
      <c r="AP145" s="9">
        <v>0</v>
      </c>
      <c r="AQ145" s="9">
        <v>0</v>
      </c>
      <c r="AR145" s="9">
        <v>0</v>
      </c>
      <c r="AS145" s="9">
        <v>0</v>
      </c>
      <c r="AT145" s="9">
        <v>0</v>
      </c>
      <c r="AU145" s="9">
        <v>0</v>
      </c>
      <c r="AV145" s="9">
        <v>0</v>
      </c>
      <c r="AW145" s="9">
        <v>0</v>
      </c>
      <c r="AX145" s="9">
        <f t="shared" si="61"/>
        <v>454.41960431654678</v>
      </c>
      <c r="AY145" s="9">
        <f t="shared" si="62"/>
        <v>174.51151079136693</v>
      </c>
      <c r="AZ145" s="9">
        <f t="shared" si="63"/>
        <v>42.041546762589896</v>
      </c>
      <c r="BA145" s="9">
        <f t="shared" si="64"/>
        <v>344.83812949640298</v>
      </c>
      <c r="BB145" s="9">
        <f t="shared" si="65"/>
        <v>109.58147482014381</v>
      </c>
      <c r="BC145" s="20"/>
      <c r="BD145" s="9">
        <v>147</v>
      </c>
      <c r="BF145" s="9">
        <v>159</v>
      </c>
      <c r="BH145" s="9">
        <v>9</v>
      </c>
      <c r="BI145" s="9">
        <f t="shared" si="66"/>
        <v>9</v>
      </c>
      <c r="BJ145" s="9">
        <f t="shared" si="55"/>
        <v>432.78057553956836</v>
      </c>
      <c r="BK145" s="12">
        <f t="shared" si="57"/>
        <v>9</v>
      </c>
      <c r="BP145" s="9">
        <v>0</v>
      </c>
      <c r="BQ145" s="9">
        <f t="shared" si="67"/>
        <v>0</v>
      </c>
      <c r="BR145" s="12">
        <f t="shared" si="68"/>
        <v>432.78057553956836</v>
      </c>
      <c r="BS145" s="23">
        <f t="shared" si="58"/>
        <v>0</v>
      </c>
      <c r="BU145" s="9">
        <v>40</v>
      </c>
      <c r="BW145" s="9">
        <v>0</v>
      </c>
      <c r="BX145" s="9">
        <v>47</v>
      </c>
      <c r="BY145" s="9">
        <v>50</v>
      </c>
      <c r="BZ145" s="9">
        <v>51</v>
      </c>
      <c r="CA145" s="9">
        <v>56</v>
      </c>
      <c r="CB145" s="9">
        <v>60</v>
      </c>
      <c r="CC145" s="9">
        <v>60</v>
      </c>
      <c r="CD145" s="9">
        <v>59</v>
      </c>
      <c r="CE145" s="9">
        <v>53</v>
      </c>
      <c r="CF145" s="9">
        <v>40</v>
      </c>
      <c r="CG145" s="9">
        <v>23</v>
      </c>
      <c r="CH145" s="9">
        <v>14</v>
      </c>
      <c r="CI145" s="9">
        <v>9</v>
      </c>
      <c r="CJ145" s="9">
        <v>6</v>
      </c>
      <c r="CK145" s="12">
        <f t="shared" si="59"/>
        <v>504.5</v>
      </c>
      <c r="CL145" s="9">
        <f t="shared" si="69"/>
        <v>180.5</v>
      </c>
      <c r="CM145" s="9">
        <f t="shared" si="70"/>
        <v>52</v>
      </c>
      <c r="CN145" s="9">
        <f t="shared" si="71"/>
        <v>359.5</v>
      </c>
      <c r="CO145" s="207">
        <f t="shared" si="72"/>
        <v>145</v>
      </c>
      <c r="CQ145" s="9">
        <f t="shared" si="73"/>
        <v>383</v>
      </c>
      <c r="CR145" s="9">
        <f t="shared" si="74"/>
        <v>145</v>
      </c>
    </row>
    <row r="146" spans="1:96" ht="29.25">
      <c r="A146" t="str">
        <f t="shared" si="56"/>
        <v>481</v>
      </c>
      <c r="B146">
        <f t="shared" si="60"/>
        <v>481</v>
      </c>
      <c r="C146" s="15" t="s">
        <v>154</v>
      </c>
      <c r="D146" s="11"/>
      <c r="E146" s="9">
        <f>SUM(56.6389776357827*0.5)</f>
        <v>28.319488817891351</v>
      </c>
      <c r="F146" s="9">
        <v>57.252396166134197</v>
      </c>
      <c r="G146" s="9">
        <v>57.121405750798701</v>
      </c>
      <c r="H146" s="9">
        <v>57.063897763578296</v>
      </c>
      <c r="I146" s="9">
        <v>56.424920127795502</v>
      </c>
      <c r="J146" s="9">
        <v>56.690095846645399</v>
      </c>
      <c r="K146" s="9">
        <v>55.520766773162897</v>
      </c>
      <c r="L146" s="9">
        <v>46.130990415335503</v>
      </c>
      <c r="M146" s="9">
        <v>46.303514376996802</v>
      </c>
      <c r="N146" s="9">
        <v>0</v>
      </c>
      <c r="O146" s="9">
        <v>0</v>
      </c>
      <c r="P146" s="9">
        <v>0</v>
      </c>
      <c r="Q146" s="9">
        <v>0</v>
      </c>
      <c r="R146" s="9">
        <v>0</v>
      </c>
      <c r="S146" s="9">
        <v>0</v>
      </c>
      <c r="T146" s="9">
        <v>0</v>
      </c>
      <c r="U146" s="9">
        <v>0</v>
      </c>
      <c r="V146" s="9">
        <v>0</v>
      </c>
      <c r="W146" s="9">
        <v>0</v>
      </c>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9">
        <v>0</v>
      </c>
      <c r="AO146" s="9">
        <v>0</v>
      </c>
      <c r="AP146" s="9">
        <v>0</v>
      </c>
      <c r="AQ146" s="9">
        <v>0</v>
      </c>
      <c r="AR146" s="9">
        <v>0</v>
      </c>
      <c r="AS146" s="9">
        <v>0</v>
      </c>
      <c r="AT146" s="9">
        <v>0</v>
      </c>
      <c r="AU146" s="9">
        <v>0</v>
      </c>
      <c r="AV146" s="9">
        <v>0</v>
      </c>
      <c r="AW146" s="9">
        <v>0</v>
      </c>
      <c r="AX146" s="9">
        <f t="shared" si="61"/>
        <v>483.86884984025568</v>
      </c>
      <c r="AY146" s="9">
        <f t="shared" si="62"/>
        <v>209.74504792332269</v>
      </c>
      <c r="AZ146" s="9">
        <f t="shared" si="63"/>
        <v>0</v>
      </c>
      <c r="BA146" s="9">
        <f t="shared" si="64"/>
        <v>386.81261980830669</v>
      </c>
      <c r="BB146" s="9">
        <f t="shared" si="65"/>
        <v>97.056230031948928</v>
      </c>
      <c r="BC146" s="20"/>
      <c r="BD146" s="9">
        <v>352</v>
      </c>
      <c r="BF146" s="9">
        <v>317</v>
      </c>
      <c r="BH146" s="9">
        <v>51</v>
      </c>
      <c r="BI146" s="9">
        <f t="shared" si="66"/>
        <v>51</v>
      </c>
      <c r="BJ146" s="9">
        <f t="shared" si="55"/>
        <v>460.82747603833872</v>
      </c>
      <c r="BK146" s="12">
        <f t="shared" si="57"/>
        <v>51</v>
      </c>
      <c r="BP146" s="9">
        <v>136</v>
      </c>
      <c r="BQ146" s="9">
        <f t="shared" si="67"/>
        <v>136</v>
      </c>
      <c r="BR146" s="12">
        <f t="shared" si="68"/>
        <v>460.82747603833872</v>
      </c>
      <c r="BS146" s="23">
        <f t="shared" si="58"/>
        <v>136</v>
      </c>
      <c r="BU146" s="9">
        <v>0</v>
      </c>
      <c r="BW146" s="9">
        <v>0</v>
      </c>
      <c r="BX146" s="9">
        <v>60</v>
      </c>
      <c r="BY146" s="9">
        <v>59</v>
      </c>
      <c r="BZ146" s="9">
        <v>60</v>
      </c>
      <c r="CA146" s="9">
        <v>58</v>
      </c>
      <c r="CB146" s="9">
        <v>54</v>
      </c>
      <c r="CC146" s="9">
        <v>60</v>
      </c>
      <c r="CD146" s="9">
        <v>51</v>
      </c>
      <c r="CE146" s="9">
        <v>49</v>
      </c>
      <c r="CF146" s="9">
        <v>42</v>
      </c>
      <c r="CG146" s="9">
        <v>0</v>
      </c>
      <c r="CH146" s="9">
        <v>0</v>
      </c>
      <c r="CI146" s="9">
        <v>0</v>
      </c>
      <c r="CJ146" s="9">
        <v>0</v>
      </c>
      <c r="CK146" s="12">
        <f t="shared" si="59"/>
        <v>463</v>
      </c>
      <c r="CL146" s="9">
        <f t="shared" si="69"/>
        <v>207</v>
      </c>
      <c r="CM146" s="9">
        <f t="shared" si="70"/>
        <v>0</v>
      </c>
      <c r="CN146" s="9">
        <f t="shared" si="71"/>
        <v>372</v>
      </c>
      <c r="CO146" s="207">
        <f t="shared" si="72"/>
        <v>91</v>
      </c>
      <c r="CQ146" s="9">
        <f t="shared" si="73"/>
        <v>402</v>
      </c>
      <c r="CR146" s="9">
        <f t="shared" si="74"/>
        <v>91</v>
      </c>
    </row>
    <row r="147" spans="1:96" ht="29.25">
      <c r="A147" t="str">
        <f t="shared" si="56"/>
        <v>482</v>
      </c>
      <c r="B147">
        <f t="shared" si="60"/>
        <v>482</v>
      </c>
      <c r="C147" s="15" t="s">
        <v>155</v>
      </c>
      <c r="D147" s="11"/>
      <c r="E147" s="9">
        <f>SUM(47.5907160918491*0.5)</f>
        <v>23.795358045924552</v>
      </c>
      <c r="F147" s="9">
        <v>45.182098765432102</v>
      </c>
      <c r="G147" s="9">
        <v>23.873456790123502</v>
      </c>
      <c r="H147" s="9">
        <v>25.234567901234598</v>
      </c>
      <c r="I147" s="9">
        <v>26.256172839506199</v>
      </c>
      <c r="J147" s="9">
        <v>26.123456790123502</v>
      </c>
      <c r="K147" s="9">
        <v>26.108024691358001</v>
      </c>
      <c r="L147" s="9">
        <v>25.432098765432102</v>
      </c>
      <c r="M147" s="9">
        <v>26.228395061728399</v>
      </c>
      <c r="N147" s="9">
        <v>26.4135802469136</v>
      </c>
      <c r="O147" s="9">
        <v>12.1111111111111</v>
      </c>
      <c r="P147" s="9">
        <v>7.4969135802469102</v>
      </c>
      <c r="Q147" s="9">
        <v>6.9938271604938302</v>
      </c>
      <c r="R147" s="9">
        <v>0</v>
      </c>
      <c r="S147" s="9">
        <v>0</v>
      </c>
      <c r="T147" s="9">
        <v>0</v>
      </c>
      <c r="U147" s="9">
        <v>0</v>
      </c>
      <c r="V147" s="9">
        <v>0</v>
      </c>
      <c r="W147" s="9">
        <v>0</v>
      </c>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9">
        <v>0</v>
      </c>
      <c r="AO147" s="9">
        <v>0</v>
      </c>
      <c r="AP147" s="9">
        <v>0</v>
      </c>
      <c r="AQ147" s="9">
        <v>0</v>
      </c>
      <c r="AR147" s="9">
        <v>0</v>
      </c>
      <c r="AS147" s="9">
        <v>0</v>
      </c>
      <c r="AT147" s="9">
        <v>0</v>
      </c>
      <c r="AU147" s="9">
        <v>0</v>
      </c>
      <c r="AV147" s="9">
        <v>0</v>
      </c>
      <c r="AW147" s="9">
        <v>0</v>
      </c>
      <c r="AX147" s="9">
        <f t="shared" si="61"/>
        <v>316.31151483710983</v>
      </c>
      <c r="AY147" s="9">
        <f t="shared" si="62"/>
        <v>123.9897555778505</v>
      </c>
      <c r="AZ147" s="9">
        <f t="shared" si="63"/>
        <v>55.666203703703708</v>
      </c>
      <c r="BA147" s="9">
        <f t="shared" si="64"/>
        <v>206.40179261488757</v>
      </c>
      <c r="BB147" s="9">
        <f t="shared" si="65"/>
        <v>109.90972222222226</v>
      </c>
      <c r="BC147" s="20"/>
      <c r="BD147" s="9">
        <v>82</v>
      </c>
      <c r="BF147" s="9">
        <v>64</v>
      </c>
      <c r="BH147" s="9">
        <v>24</v>
      </c>
      <c r="BI147" s="9">
        <f t="shared" si="66"/>
        <v>24</v>
      </c>
      <c r="BJ147" s="9">
        <f t="shared" si="55"/>
        <v>301.24906174962837</v>
      </c>
      <c r="BK147" s="12">
        <f t="shared" si="57"/>
        <v>24</v>
      </c>
      <c r="BP147" s="9">
        <v>0</v>
      </c>
      <c r="BQ147" s="9">
        <f t="shared" si="67"/>
        <v>0</v>
      </c>
      <c r="BR147" s="12">
        <f t="shared" si="68"/>
        <v>301.24906174962837</v>
      </c>
      <c r="BS147" s="23">
        <f t="shared" si="58"/>
        <v>0</v>
      </c>
      <c r="BU147" s="9">
        <v>0</v>
      </c>
      <c r="BW147" s="9">
        <v>0</v>
      </c>
      <c r="BX147" s="9">
        <v>47</v>
      </c>
      <c r="BY147" s="9">
        <v>46</v>
      </c>
      <c r="BZ147" s="9">
        <v>48</v>
      </c>
      <c r="CA147" s="9">
        <v>26</v>
      </c>
      <c r="CB147" s="9">
        <v>28</v>
      </c>
      <c r="CC147" s="9">
        <v>28</v>
      </c>
      <c r="CD147" s="9">
        <v>26</v>
      </c>
      <c r="CE147" s="9">
        <v>24</v>
      </c>
      <c r="CF147" s="9">
        <v>26</v>
      </c>
      <c r="CG147" s="9">
        <v>19</v>
      </c>
      <c r="CH147" s="9">
        <v>27</v>
      </c>
      <c r="CI147" s="9">
        <v>12</v>
      </c>
      <c r="CJ147" s="9">
        <v>6</v>
      </c>
      <c r="CK147" s="12">
        <f t="shared" si="59"/>
        <v>339.5</v>
      </c>
      <c r="CL147" s="9">
        <f t="shared" si="69"/>
        <v>143.5</v>
      </c>
      <c r="CM147" s="9">
        <f t="shared" si="70"/>
        <v>64</v>
      </c>
      <c r="CN147" s="9">
        <f t="shared" si="71"/>
        <v>225.5</v>
      </c>
      <c r="CO147" s="207">
        <f t="shared" si="72"/>
        <v>114</v>
      </c>
      <c r="CQ147" s="9">
        <f t="shared" si="73"/>
        <v>249</v>
      </c>
      <c r="CR147" s="9">
        <f t="shared" si="74"/>
        <v>114</v>
      </c>
    </row>
    <row r="148" spans="1:96" ht="43.5">
      <c r="A148" t="str">
        <f t="shared" si="56"/>
        <v>483</v>
      </c>
      <c r="B148">
        <f t="shared" si="60"/>
        <v>483</v>
      </c>
      <c r="C148" s="15" t="s">
        <v>156</v>
      </c>
      <c r="D148" s="11"/>
      <c r="E148" s="9">
        <f>SUM(16.3967741935484*0.5)</f>
        <v>8.1983870967741996</v>
      </c>
      <c r="F148" s="9">
        <v>12.754838709677401</v>
      </c>
      <c r="G148" s="9">
        <v>15.3161290322581</v>
      </c>
      <c r="H148" s="9">
        <v>10.1354838709677</v>
      </c>
      <c r="I148" s="9">
        <v>13.2870967741935</v>
      </c>
      <c r="J148" s="9">
        <v>8.4516129032258096</v>
      </c>
      <c r="K148" s="9">
        <v>5.2193548387096804</v>
      </c>
      <c r="L148" s="9">
        <v>0</v>
      </c>
      <c r="M148" s="9">
        <v>0</v>
      </c>
      <c r="N148" s="9">
        <v>0</v>
      </c>
      <c r="O148" s="9">
        <v>0</v>
      </c>
      <c r="P148" s="9">
        <v>0</v>
      </c>
      <c r="Q148" s="9">
        <v>0</v>
      </c>
      <c r="R148" s="9">
        <v>0</v>
      </c>
      <c r="S148" s="9">
        <v>0</v>
      </c>
      <c r="T148" s="9">
        <v>0</v>
      </c>
      <c r="U148" s="9">
        <v>0</v>
      </c>
      <c r="V148" s="9">
        <v>0</v>
      </c>
      <c r="W148" s="9">
        <v>0</v>
      </c>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9">
        <v>0</v>
      </c>
      <c r="AO148" s="9">
        <v>0</v>
      </c>
      <c r="AP148" s="9">
        <v>0</v>
      </c>
      <c r="AQ148" s="9">
        <v>0</v>
      </c>
      <c r="AR148" s="9">
        <v>0</v>
      </c>
      <c r="AS148" s="9">
        <v>0</v>
      </c>
      <c r="AT148" s="9">
        <v>0</v>
      </c>
      <c r="AU148" s="9">
        <v>0</v>
      </c>
      <c r="AV148" s="9">
        <v>0</v>
      </c>
      <c r="AW148" s="9">
        <v>0</v>
      </c>
      <c r="AX148" s="9">
        <f t="shared" si="61"/>
        <v>77.031048387096718</v>
      </c>
      <c r="AY148" s="9">
        <f t="shared" si="62"/>
        <v>48.725080645161277</v>
      </c>
      <c r="AZ148" s="9">
        <f t="shared" si="63"/>
        <v>0</v>
      </c>
      <c r="BA148" s="9">
        <f t="shared" si="64"/>
        <v>77.031048387096718</v>
      </c>
      <c r="BB148" s="9">
        <f t="shared" si="65"/>
        <v>0</v>
      </c>
      <c r="BC148" s="20"/>
      <c r="BD148" s="9">
        <v>67</v>
      </c>
      <c r="BF148" s="153">
        <v>36.979999999999997</v>
      </c>
      <c r="BH148" s="9">
        <v>21</v>
      </c>
      <c r="BI148" s="9">
        <f t="shared" si="66"/>
        <v>21</v>
      </c>
      <c r="BJ148" s="9">
        <f t="shared" si="55"/>
        <v>73.362903225806392</v>
      </c>
      <c r="BK148" s="12">
        <f t="shared" si="57"/>
        <v>21</v>
      </c>
      <c r="BP148" s="9">
        <v>0</v>
      </c>
      <c r="BQ148" s="9">
        <f t="shared" si="67"/>
        <v>0</v>
      </c>
      <c r="BR148" s="12">
        <f t="shared" si="68"/>
        <v>73.362903225806392</v>
      </c>
      <c r="BS148" s="23">
        <f t="shared" si="58"/>
        <v>0</v>
      </c>
      <c r="BU148" s="9">
        <v>0</v>
      </c>
      <c r="BW148" s="9">
        <v>0</v>
      </c>
      <c r="BX148" s="9">
        <v>17</v>
      </c>
      <c r="BY148" s="9">
        <v>19</v>
      </c>
      <c r="BZ148" s="9">
        <v>9</v>
      </c>
      <c r="CA148" s="9">
        <v>12</v>
      </c>
      <c r="CB148" s="9">
        <v>7</v>
      </c>
      <c r="CC148" s="9">
        <v>14</v>
      </c>
      <c r="CD148" s="9">
        <v>5</v>
      </c>
      <c r="CE148" s="9">
        <v>3</v>
      </c>
      <c r="CF148" s="9">
        <v>0</v>
      </c>
      <c r="CG148" s="9">
        <v>0</v>
      </c>
      <c r="CH148" s="9">
        <v>0</v>
      </c>
      <c r="CI148" s="9">
        <v>0</v>
      </c>
      <c r="CJ148" s="9">
        <v>0</v>
      </c>
      <c r="CK148" s="12">
        <f t="shared" si="59"/>
        <v>77.5</v>
      </c>
      <c r="CL148" s="9">
        <f t="shared" si="69"/>
        <v>48.5</v>
      </c>
      <c r="CM148" s="9">
        <f t="shared" si="70"/>
        <v>0</v>
      </c>
      <c r="CN148" s="9">
        <f t="shared" si="71"/>
        <v>74.5</v>
      </c>
      <c r="CO148" s="207">
        <f t="shared" si="72"/>
        <v>3</v>
      </c>
      <c r="CQ148" s="9">
        <f t="shared" si="73"/>
        <v>83</v>
      </c>
      <c r="CR148" s="9">
        <f t="shared" si="74"/>
        <v>3</v>
      </c>
    </row>
    <row r="149" spans="1:96" ht="29.25">
      <c r="A149" t="str">
        <f t="shared" si="56"/>
        <v>485</v>
      </c>
      <c r="B149">
        <f t="shared" si="60"/>
        <v>485</v>
      </c>
      <c r="C149" s="16" t="s">
        <v>157</v>
      </c>
      <c r="D149" s="11"/>
      <c r="E149" s="9">
        <f>SUM(0*0.5)</f>
        <v>0</v>
      </c>
      <c r="F149" s="9">
        <v>0</v>
      </c>
      <c r="G149" s="9">
        <v>0</v>
      </c>
      <c r="H149" s="9">
        <v>0</v>
      </c>
      <c r="I149" s="9">
        <v>0</v>
      </c>
      <c r="J149" s="9">
        <v>0</v>
      </c>
      <c r="K149" s="9">
        <v>0</v>
      </c>
      <c r="L149" s="9">
        <v>0</v>
      </c>
      <c r="M149" s="9">
        <v>0</v>
      </c>
      <c r="N149" s="9">
        <v>29.3819444444444</v>
      </c>
      <c r="O149" s="9">
        <v>27.78125</v>
      </c>
      <c r="P149" s="9">
        <v>25.3854166666667</v>
      </c>
      <c r="Q149" s="9">
        <v>27.4340277777778</v>
      </c>
      <c r="R149" s="9">
        <v>0</v>
      </c>
      <c r="S149" s="9">
        <v>0</v>
      </c>
      <c r="T149" s="9">
        <v>0</v>
      </c>
      <c r="U149" s="9">
        <v>0</v>
      </c>
      <c r="V149" s="9">
        <v>0</v>
      </c>
      <c r="W149" s="9">
        <v>0</v>
      </c>
      <c r="X149" s="9">
        <v>0</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9">
        <v>0</v>
      </c>
      <c r="AO149" s="9">
        <v>0</v>
      </c>
      <c r="AP149" s="9">
        <v>0</v>
      </c>
      <c r="AQ149" s="9">
        <v>0</v>
      </c>
      <c r="AR149" s="9">
        <v>0</v>
      </c>
      <c r="AS149" s="9">
        <v>0</v>
      </c>
      <c r="AT149" s="9">
        <v>0</v>
      </c>
      <c r="AU149" s="9">
        <v>0</v>
      </c>
      <c r="AV149" s="9">
        <v>0</v>
      </c>
      <c r="AW149" s="9">
        <v>0</v>
      </c>
      <c r="AX149" s="9">
        <f t="shared" si="61"/>
        <v>115.48177083333334</v>
      </c>
      <c r="AY149" s="9">
        <f t="shared" si="62"/>
        <v>0</v>
      </c>
      <c r="AZ149" s="9">
        <f t="shared" si="63"/>
        <v>115.48177083333334</v>
      </c>
      <c r="BA149" s="9">
        <f t="shared" si="64"/>
        <v>0</v>
      </c>
      <c r="BB149" s="9">
        <f t="shared" si="65"/>
        <v>115.48177083333334</v>
      </c>
      <c r="BC149" s="20"/>
      <c r="BD149" s="9">
        <v>62</v>
      </c>
      <c r="BF149" s="9">
        <v>57</v>
      </c>
      <c r="BH149" s="9">
        <v>6</v>
      </c>
      <c r="BI149" s="9">
        <f t="shared" si="66"/>
        <v>6</v>
      </c>
      <c r="BJ149" s="9">
        <f t="shared" si="55"/>
        <v>109.9826388888889</v>
      </c>
      <c r="BK149" s="12">
        <f t="shared" si="57"/>
        <v>6</v>
      </c>
      <c r="BP149" s="9">
        <v>0</v>
      </c>
      <c r="BQ149" s="9">
        <f t="shared" si="67"/>
        <v>0</v>
      </c>
      <c r="BR149" s="12">
        <f t="shared" si="68"/>
        <v>109.9826388888889</v>
      </c>
      <c r="BS149" s="23">
        <f t="shared" si="58"/>
        <v>0</v>
      </c>
      <c r="BU149" s="9">
        <v>0</v>
      </c>
      <c r="BW149" s="9">
        <v>0</v>
      </c>
      <c r="BX149" s="9">
        <v>0</v>
      </c>
      <c r="BY149" s="9">
        <v>0</v>
      </c>
      <c r="BZ149" s="9">
        <v>0</v>
      </c>
      <c r="CA149" s="9">
        <v>0</v>
      </c>
      <c r="CB149" s="9">
        <v>0</v>
      </c>
      <c r="CC149" s="9">
        <v>0</v>
      </c>
      <c r="CD149" s="9">
        <v>0</v>
      </c>
      <c r="CE149" s="9">
        <v>0</v>
      </c>
      <c r="CF149" s="9">
        <v>0</v>
      </c>
      <c r="CG149" s="9">
        <v>34</v>
      </c>
      <c r="CH149" s="9">
        <v>35</v>
      </c>
      <c r="CI149" s="9">
        <v>25</v>
      </c>
      <c r="CJ149" s="9">
        <v>24</v>
      </c>
      <c r="CK149" s="12">
        <f t="shared" si="59"/>
        <v>118</v>
      </c>
      <c r="CL149" s="9">
        <f t="shared" si="69"/>
        <v>0</v>
      </c>
      <c r="CM149" s="9">
        <f t="shared" si="70"/>
        <v>118</v>
      </c>
      <c r="CN149" s="9">
        <f t="shared" si="71"/>
        <v>0</v>
      </c>
      <c r="CO149" s="207">
        <f t="shared" si="72"/>
        <v>118</v>
      </c>
      <c r="CQ149" s="9">
        <f t="shared" si="73"/>
        <v>0</v>
      </c>
      <c r="CR149" s="9">
        <f t="shared" si="74"/>
        <v>118</v>
      </c>
    </row>
    <row r="150" spans="1:96" ht="29.25">
      <c r="A150" t="str">
        <f t="shared" si="56"/>
        <v>486</v>
      </c>
      <c r="B150">
        <f t="shared" si="60"/>
        <v>486</v>
      </c>
      <c r="C150" s="16" t="s">
        <v>158</v>
      </c>
      <c r="D150" s="11"/>
      <c r="E150" s="9">
        <f>SUM(10.5833333333333*0.5)</f>
        <v>5.2916666666666501</v>
      </c>
      <c r="F150" s="9">
        <v>10.7651515151515</v>
      </c>
      <c r="G150" s="9">
        <v>10.6515151515152</v>
      </c>
      <c r="H150" s="9">
        <v>9.6515151515151505</v>
      </c>
      <c r="I150" s="9">
        <v>10.0378787878788</v>
      </c>
      <c r="J150" s="9">
        <v>9.6439393939393891</v>
      </c>
      <c r="K150" s="9">
        <v>11.0643939393939</v>
      </c>
      <c r="L150" s="9">
        <v>10.696969696969701</v>
      </c>
      <c r="M150" s="9">
        <v>6.9545454545454497</v>
      </c>
      <c r="N150" s="9">
        <v>5.3928571428571397</v>
      </c>
      <c r="O150" s="9">
        <v>4.5392857142857101</v>
      </c>
      <c r="P150" s="9">
        <v>4.53571428571429</v>
      </c>
      <c r="Q150" s="9">
        <v>2.6392857142857098</v>
      </c>
      <c r="R150" s="9">
        <v>0</v>
      </c>
      <c r="S150" s="9">
        <v>0</v>
      </c>
      <c r="T150" s="9">
        <v>0</v>
      </c>
      <c r="U150" s="9">
        <v>0</v>
      </c>
      <c r="V150" s="9">
        <v>0</v>
      </c>
      <c r="W150" s="9">
        <v>0</v>
      </c>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9">
        <v>0</v>
      </c>
      <c r="AO150" s="9">
        <v>0</v>
      </c>
      <c r="AP150" s="9">
        <v>0</v>
      </c>
      <c r="AQ150" s="9">
        <v>0</v>
      </c>
      <c r="AR150" s="9">
        <v>0</v>
      </c>
      <c r="AS150" s="9">
        <v>0</v>
      </c>
      <c r="AT150" s="9">
        <v>0</v>
      </c>
      <c r="AU150" s="9">
        <v>0</v>
      </c>
      <c r="AV150" s="9">
        <v>0</v>
      </c>
      <c r="AW150" s="9">
        <v>0</v>
      </c>
      <c r="AX150" s="9">
        <f t="shared" si="61"/>
        <v>106.95795454545451</v>
      </c>
      <c r="AY150" s="9">
        <f t="shared" si="62"/>
        <v>38.177840909090925</v>
      </c>
      <c r="AZ150" s="9">
        <f t="shared" si="63"/>
        <v>17.962499999999995</v>
      </c>
      <c r="BA150" s="9">
        <f t="shared" si="64"/>
        <v>70.461363636363615</v>
      </c>
      <c r="BB150" s="9">
        <f t="shared" si="65"/>
        <v>36.496590909090905</v>
      </c>
      <c r="BC150" s="20"/>
      <c r="BD150" s="9">
        <v>68</v>
      </c>
      <c r="BF150" s="153">
        <v>43.43</v>
      </c>
      <c r="BH150" s="9" t="e">
        <v>#N/A</v>
      </c>
      <c r="BI150" s="9" t="str">
        <f t="shared" si="66"/>
        <v/>
      </c>
      <c r="BJ150" s="9" t="str">
        <f t="shared" si="55"/>
        <v/>
      </c>
      <c r="BK150" s="12">
        <f t="shared" si="57"/>
        <v>12.637640103687664</v>
      </c>
      <c r="BP150" s="9">
        <v>0</v>
      </c>
      <c r="BQ150" s="9">
        <f t="shared" si="67"/>
        <v>0</v>
      </c>
      <c r="BR150" s="12">
        <f t="shared" si="68"/>
        <v>101.86471861471858</v>
      </c>
      <c r="BS150" s="23">
        <f t="shared" si="58"/>
        <v>0</v>
      </c>
      <c r="BU150" s="9">
        <v>0</v>
      </c>
      <c r="BW150" s="9">
        <v>0</v>
      </c>
      <c r="BX150" s="9">
        <v>13</v>
      </c>
      <c r="BY150" s="9">
        <v>12</v>
      </c>
      <c r="BZ150" s="9">
        <v>13</v>
      </c>
      <c r="CA150" s="9">
        <v>12</v>
      </c>
      <c r="CB150" s="9">
        <v>10</v>
      </c>
      <c r="CC150" s="9">
        <v>12</v>
      </c>
      <c r="CD150" s="9">
        <v>11</v>
      </c>
      <c r="CE150" s="9">
        <v>10</v>
      </c>
      <c r="CF150" s="9">
        <v>8</v>
      </c>
      <c r="CG150" s="9">
        <v>0</v>
      </c>
      <c r="CH150" s="9">
        <v>0</v>
      </c>
      <c r="CI150" s="9">
        <v>0</v>
      </c>
      <c r="CJ150" s="9">
        <v>0</v>
      </c>
      <c r="CK150" s="12">
        <f t="shared" si="59"/>
        <v>94.5</v>
      </c>
      <c r="CL150" s="9">
        <f t="shared" si="69"/>
        <v>43.5</v>
      </c>
      <c r="CM150" s="9">
        <f t="shared" si="70"/>
        <v>0</v>
      </c>
      <c r="CN150" s="9">
        <f t="shared" si="71"/>
        <v>76.5</v>
      </c>
      <c r="CO150" s="207">
        <f t="shared" si="72"/>
        <v>18</v>
      </c>
      <c r="CQ150" s="9">
        <f t="shared" si="73"/>
        <v>83</v>
      </c>
      <c r="CR150" s="9">
        <f t="shared" si="74"/>
        <v>18</v>
      </c>
    </row>
    <row r="151" spans="1:96" ht="29.25">
      <c r="A151" t="str">
        <f t="shared" si="56"/>
        <v>487</v>
      </c>
      <c r="B151">
        <f t="shared" si="60"/>
        <v>487</v>
      </c>
      <c r="C151" s="16" t="s">
        <v>159</v>
      </c>
      <c r="D151" s="11"/>
      <c r="E151" s="9">
        <f>SUM(0*0.5)</f>
        <v>0</v>
      </c>
      <c r="F151" s="9">
        <v>0</v>
      </c>
      <c r="G151" s="9">
        <v>0</v>
      </c>
      <c r="H151" s="9">
        <v>0</v>
      </c>
      <c r="I151" s="9">
        <v>0</v>
      </c>
      <c r="J151" s="9">
        <v>0</v>
      </c>
      <c r="K151" s="9">
        <v>37.263636363636401</v>
      </c>
      <c r="L151" s="9">
        <v>47.781818181818203</v>
      </c>
      <c r="M151" s="9">
        <v>52.721212121212098</v>
      </c>
      <c r="N151" s="9">
        <v>55.127272727272697</v>
      </c>
      <c r="O151" s="9">
        <v>49.512121212121201</v>
      </c>
      <c r="P151" s="9">
        <v>36.375757575757603</v>
      </c>
      <c r="Q151" s="9">
        <v>44.769696969697002</v>
      </c>
      <c r="R151" s="9">
        <v>0</v>
      </c>
      <c r="S151" s="9">
        <v>0</v>
      </c>
      <c r="T151" s="9">
        <v>0</v>
      </c>
      <c r="U151" s="9">
        <v>0</v>
      </c>
      <c r="V151" s="9">
        <v>0</v>
      </c>
      <c r="W151" s="9">
        <v>0</v>
      </c>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9">
        <v>0</v>
      </c>
      <c r="AS151" s="9">
        <v>0</v>
      </c>
      <c r="AT151" s="9">
        <v>0</v>
      </c>
      <c r="AU151" s="9">
        <v>0</v>
      </c>
      <c r="AV151" s="9">
        <v>0</v>
      </c>
      <c r="AW151" s="9">
        <v>0</v>
      </c>
      <c r="AX151" s="9">
        <f t="shared" si="61"/>
        <v>339.72909090909098</v>
      </c>
      <c r="AY151" s="9">
        <f t="shared" si="62"/>
        <v>0</v>
      </c>
      <c r="AZ151" s="9">
        <f t="shared" si="63"/>
        <v>195.07409090909096</v>
      </c>
      <c r="BA151" s="9">
        <f t="shared" si="64"/>
        <v>39.126818181818223</v>
      </c>
      <c r="BB151" s="9">
        <f t="shared" si="65"/>
        <v>300.60227272727275</v>
      </c>
      <c r="BC151" s="20"/>
      <c r="BD151" s="9">
        <v>151</v>
      </c>
      <c r="BF151" s="9">
        <v>113</v>
      </c>
      <c r="BH151" s="9">
        <v>40</v>
      </c>
      <c r="BI151" s="9">
        <f t="shared" si="66"/>
        <v>40</v>
      </c>
      <c r="BJ151" s="9">
        <f t="shared" si="55"/>
        <v>323.55151515151522</v>
      </c>
      <c r="BK151" s="12">
        <f t="shared" si="57"/>
        <v>40</v>
      </c>
      <c r="BP151" s="9">
        <v>0</v>
      </c>
      <c r="BQ151" s="9">
        <f t="shared" si="67"/>
        <v>0</v>
      </c>
      <c r="BR151" s="12">
        <f t="shared" si="68"/>
        <v>323.55151515151522</v>
      </c>
      <c r="BS151" s="23">
        <f t="shared" si="58"/>
        <v>0</v>
      </c>
      <c r="BU151" s="9">
        <v>39</v>
      </c>
      <c r="BW151" s="9">
        <v>0</v>
      </c>
      <c r="BX151" s="9">
        <v>0</v>
      </c>
      <c r="BY151" s="9">
        <v>0</v>
      </c>
      <c r="BZ151" s="9">
        <v>0</v>
      </c>
      <c r="CA151" s="9">
        <v>0</v>
      </c>
      <c r="CB151" s="9">
        <v>0</v>
      </c>
      <c r="CC151" s="9">
        <v>0</v>
      </c>
      <c r="CD151" s="9">
        <v>37</v>
      </c>
      <c r="CE151" s="9">
        <v>50</v>
      </c>
      <c r="CF151" s="9">
        <v>50</v>
      </c>
      <c r="CG151" s="9">
        <v>48</v>
      </c>
      <c r="CH151" s="9">
        <v>49</v>
      </c>
      <c r="CI151" s="9">
        <v>48</v>
      </c>
      <c r="CJ151" s="9">
        <v>36</v>
      </c>
      <c r="CK151" s="12">
        <f t="shared" si="59"/>
        <v>318</v>
      </c>
      <c r="CL151" s="9">
        <f t="shared" si="69"/>
        <v>0</v>
      </c>
      <c r="CM151" s="9">
        <f t="shared" si="70"/>
        <v>181</v>
      </c>
      <c r="CN151" s="9">
        <f t="shared" si="71"/>
        <v>37</v>
      </c>
      <c r="CO151" s="207">
        <f t="shared" si="72"/>
        <v>281</v>
      </c>
      <c r="CQ151" s="9">
        <f t="shared" si="73"/>
        <v>37</v>
      </c>
      <c r="CR151" s="9">
        <f t="shared" si="74"/>
        <v>281</v>
      </c>
    </row>
    <row r="152" spans="1:96" ht="29.25">
      <c r="A152" t="str">
        <f t="shared" si="56"/>
        <v>488</v>
      </c>
      <c r="B152">
        <f t="shared" si="60"/>
        <v>488</v>
      </c>
      <c r="C152" s="16" t="s">
        <v>160</v>
      </c>
      <c r="D152" s="11"/>
      <c r="E152" s="9">
        <f>SUM(14.3475609756098*0.5)</f>
        <v>7.1737804878049003</v>
      </c>
      <c r="F152" s="9">
        <v>16.231707317073202</v>
      </c>
      <c r="G152" s="9">
        <v>13.7134146341463</v>
      </c>
      <c r="H152" s="9">
        <v>25.021341463414601</v>
      </c>
      <c r="I152" s="9">
        <v>17.064024390243901</v>
      </c>
      <c r="J152" s="9">
        <v>18.4634146341463</v>
      </c>
      <c r="K152" s="9">
        <v>14.850609756097599</v>
      </c>
      <c r="L152" s="9">
        <v>0</v>
      </c>
      <c r="M152" s="9">
        <v>0</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9">
        <v>0</v>
      </c>
      <c r="AO152" s="9">
        <v>0</v>
      </c>
      <c r="AP152" s="9">
        <v>0</v>
      </c>
      <c r="AQ152" s="9">
        <v>0</v>
      </c>
      <c r="AR152" s="9">
        <v>0</v>
      </c>
      <c r="AS152" s="9">
        <v>0</v>
      </c>
      <c r="AT152" s="9">
        <v>0</v>
      </c>
      <c r="AU152" s="9">
        <v>0</v>
      </c>
      <c r="AV152" s="9">
        <v>0</v>
      </c>
      <c r="AW152" s="9">
        <v>0</v>
      </c>
      <c r="AX152" s="9">
        <f t="shared" si="61"/>
        <v>118.14420731707315</v>
      </c>
      <c r="AY152" s="9">
        <f t="shared" si="62"/>
        <v>65.24725609756095</v>
      </c>
      <c r="AZ152" s="9">
        <f t="shared" si="63"/>
        <v>0</v>
      </c>
      <c r="BA152" s="9">
        <f t="shared" si="64"/>
        <v>118.14420731707315</v>
      </c>
      <c r="BB152" s="9">
        <f t="shared" si="65"/>
        <v>0</v>
      </c>
      <c r="BC152" s="20"/>
      <c r="BD152" s="9">
        <v>56</v>
      </c>
      <c r="BF152" s="9">
        <v>57</v>
      </c>
      <c r="BH152" s="9">
        <v>11</v>
      </c>
      <c r="BI152" s="9">
        <f t="shared" si="66"/>
        <v>11</v>
      </c>
      <c r="BJ152" s="9">
        <f t="shared" si="55"/>
        <v>112.51829268292681</v>
      </c>
      <c r="BK152" s="12">
        <f t="shared" si="57"/>
        <v>11</v>
      </c>
      <c r="BP152" s="9" t="s">
        <v>240</v>
      </c>
      <c r="BQ152" s="9" t="str">
        <f t="shared" si="67"/>
        <v/>
      </c>
      <c r="BR152" s="12" t="str">
        <f t="shared" si="68"/>
        <v/>
      </c>
      <c r="BS152" s="23">
        <f t="shared" si="58"/>
        <v>10.105932616873245</v>
      </c>
      <c r="BU152" s="9">
        <v>0</v>
      </c>
      <c r="BW152" s="9">
        <v>0</v>
      </c>
      <c r="BX152" s="9">
        <v>15</v>
      </c>
      <c r="BY152" s="9">
        <v>16</v>
      </c>
      <c r="BZ152" s="9">
        <v>8</v>
      </c>
      <c r="CA152" s="9">
        <v>16</v>
      </c>
      <c r="CB152" s="9">
        <v>22</v>
      </c>
      <c r="CC152" s="9">
        <v>16</v>
      </c>
      <c r="CD152" s="9">
        <v>11</v>
      </c>
      <c r="CE152" s="9">
        <v>7</v>
      </c>
      <c r="CF152" s="9">
        <v>0</v>
      </c>
      <c r="CG152" s="9">
        <v>0</v>
      </c>
      <c r="CH152" s="9">
        <v>0</v>
      </c>
      <c r="CI152" s="9">
        <v>0</v>
      </c>
      <c r="CJ152" s="9">
        <v>0</v>
      </c>
      <c r="CK152" s="12">
        <f t="shared" si="59"/>
        <v>103.5</v>
      </c>
      <c r="CL152" s="9">
        <f t="shared" si="69"/>
        <v>47.5</v>
      </c>
      <c r="CM152" s="9">
        <f t="shared" si="70"/>
        <v>0</v>
      </c>
      <c r="CN152" s="9">
        <f t="shared" si="71"/>
        <v>96.5</v>
      </c>
      <c r="CO152" s="207">
        <f t="shared" si="72"/>
        <v>7</v>
      </c>
      <c r="CQ152" s="9">
        <f t="shared" si="73"/>
        <v>104</v>
      </c>
      <c r="CR152" s="9">
        <f t="shared" si="74"/>
        <v>7</v>
      </c>
    </row>
    <row r="153" spans="1:96" ht="29.25">
      <c r="A153" t="str">
        <f t="shared" si="56"/>
        <v>489</v>
      </c>
      <c r="B153">
        <f t="shared" si="60"/>
        <v>489</v>
      </c>
      <c r="C153" s="15" t="s">
        <v>161</v>
      </c>
      <c r="D153" s="11"/>
      <c r="E153" s="9">
        <f>SUM(0*0.5)</f>
        <v>0</v>
      </c>
      <c r="F153" s="9">
        <v>0</v>
      </c>
      <c r="G153" s="9">
        <v>0</v>
      </c>
      <c r="H153" s="9">
        <v>0</v>
      </c>
      <c r="I153" s="9">
        <v>0</v>
      </c>
      <c r="J153" s="9">
        <v>0</v>
      </c>
      <c r="K153" s="9">
        <v>0</v>
      </c>
      <c r="L153" s="9">
        <v>0</v>
      </c>
      <c r="M153" s="9">
        <v>0</v>
      </c>
      <c r="N153" s="9">
        <v>26.920118343195298</v>
      </c>
      <c r="O153" s="9">
        <v>29.819526627218899</v>
      </c>
      <c r="P153" s="9">
        <v>29.9526627218935</v>
      </c>
      <c r="Q153" s="9">
        <v>19.541420118343201</v>
      </c>
      <c r="R153" s="9">
        <v>0</v>
      </c>
      <c r="S153" s="9">
        <v>0</v>
      </c>
      <c r="T153" s="9">
        <v>0</v>
      </c>
      <c r="U153" s="9">
        <v>0</v>
      </c>
      <c r="V153" s="9">
        <v>0</v>
      </c>
      <c r="W153" s="9">
        <v>0</v>
      </c>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9">
        <v>0</v>
      </c>
      <c r="AO153" s="9">
        <v>0</v>
      </c>
      <c r="AP153" s="9">
        <v>0</v>
      </c>
      <c r="AQ153" s="9">
        <v>0</v>
      </c>
      <c r="AR153" s="9">
        <v>0</v>
      </c>
      <c r="AS153" s="9">
        <v>0</v>
      </c>
      <c r="AT153" s="9">
        <v>0</v>
      </c>
      <c r="AU153" s="9">
        <v>0</v>
      </c>
      <c r="AV153" s="9">
        <v>0</v>
      </c>
      <c r="AW153" s="9">
        <v>0</v>
      </c>
      <c r="AX153" s="9">
        <f t="shared" si="61"/>
        <v>111.54541420118343</v>
      </c>
      <c r="AY153" s="9">
        <f t="shared" si="62"/>
        <v>0</v>
      </c>
      <c r="AZ153" s="9">
        <f t="shared" si="63"/>
        <v>111.54541420118343</v>
      </c>
      <c r="BA153" s="9">
        <f t="shared" si="64"/>
        <v>0</v>
      </c>
      <c r="BB153" s="9">
        <f t="shared" si="65"/>
        <v>111.54541420118343</v>
      </c>
      <c r="BC153" s="20"/>
      <c r="BD153" s="9">
        <v>44</v>
      </c>
      <c r="BF153" s="9">
        <v>64</v>
      </c>
      <c r="BH153" s="9">
        <v>8</v>
      </c>
      <c r="BI153" s="9">
        <f t="shared" si="66"/>
        <v>8</v>
      </c>
      <c r="BJ153" s="9">
        <f t="shared" si="55"/>
        <v>106.23372781065089</v>
      </c>
      <c r="BK153" s="12">
        <f t="shared" si="57"/>
        <v>8</v>
      </c>
      <c r="BP153" s="9">
        <v>0</v>
      </c>
      <c r="BQ153" s="9">
        <f t="shared" si="67"/>
        <v>0</v>
      </c>
      <c r="BR153" s="12">
        <f t="shared" si="68"/>
        <v>106.23372781065089</v>
      </c>
      <c r="BS153" s="23">
        <f t="shared" si="58"/>
        <v>0</v>
      </c>
      <c r="BU153" s="9">
        <v>0</v>
      </c>
      <c r="BW153" s="9">
        <v>0</v>
      </c>
      <c r="BX153" s="9">
        <v>0</v>
      </c>
      <c r="BY153" s="9">
        <v>0</v>
      </c>
      <c r="BZ153" s="9">
        <v>0</v>
      </c>
      <c r="CA153" s="9">
        <v>0</v>
      </c>
      <c r="CB153" s="9">
        <v>0</v>
      </c>
      <c r="CC153" s="9">
        <v>0</v>
      </c>
      <c r="CD153" s="9">
        <v>0</v>
      </c>
      <c r="CE153" s="9">
        <v>0</v>
      </c>
      <c r="CF153" s="9">
        <v>0</v>
      </c>
      <c r="CG153" s="9">
        <v>30</v>
      </c>
      <c r="CH153" s="9">
        <v>37</v>
      </c>
      <c r="CI153" s="9">
        <v>37</v>
      </c>
      <c r="CJ153" s="9">
        <v>32</v>
      </c>
      <c r="CK153" s="12">
        <f t="shared" si="59"/>
        <v>136</v>
      </c>
      <c r="CL153" s="9">
        <f t="shared" si="69"/>
        <v>0</v>
      </c>
      <c r="CM153" s="9">
        <f t="shared" si="70"/>
        <v>136</v>
      </c>
      <c r="CN153" s="9">
        <f t="shared" si="71"/>
        <v>0</v>
      </c>
      <c r="CO153" s="207">
        <f t="shared" si="72"/>
        <v>136</v>
      </c>
      <c r="CQ153" s="9">
        <f t="shared" si="73"/>
        <v>0</v>
      </c>
      <c r="CR153" s="9">
        <f t="shared" si="74"/>
        <v>136</v>
      </c>
    </row>
    <row r="154" spans="1:96" ht="43.5">
      <c r="A154" t="str">
        <f t="shared" si="56"/>
        <v>490</v>
      </c>
      <c r="B154">
        <f t="shared" si="60"/>
        <v>490</v>
      </c>
      <c r="C154" s="16" t="s">
        <v>162</v>
      </c>
      <c r="D154" s="11"/>
      <c r="E154" s="9">
        <f>SUM(36.7912087912088*0.5)</f>
        <v>18.395604395604401</v>
      </c>
      <c r="F154" s="9">
        <v>26.598901098901099</v>
      </c>
      <c r="G154" s="9">
        <v>41.417582417582402</v>
      </c>
      <c r="H154" s="9">
        <v>28.953296703296701</v>
      </c>
      <c r="I154" s="9">
        <v>31.148351648351699</v>
      </c>
      <c r="J154" s="9">
        <v>26.1758241758242</v>
      </c>
      <c r="K154" s="9">
        <v>44.310439560439598</v>
      </c>
      <c r="L154" s="9">
        <v>49.098901098901102</v>
      </c>
      <c r="M154" s="9">
        <v>66.019230769230802</v>
      </c>
      <c r="N154" s="9">
        <v>52.615384615384599</v>
      </c>
      <c r="O154" s="9">
        <v>39.030219780219802</v>
      </c>
      <c r="P154" s="9">
        <v>52.618131868131897</v>
      </c>
      <c r="Q154" s="9">
        <v>43.0906593406593</v>
      </c>
      <c r="R154" s="9">
        <v>0</v>
      </c>
      <c r="S154" s="9">
        <v>0</v>
      </c>
      <c r="T154" s="9">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9">
        <v>0</v>
      </c>
      <c r="AO154" s="9">
        <v>0</v>
      </c>
      <c r="AP154" s="9">
        <v>0</v>
      </c>
      <c r="AQ154" s="9">
        <v>0</v>
      </c>
      <c r="AR154" s="9">
        <v>0</v>
      </c>
      <c r="AS154" s="9">
        <v>0</v>
      </c>
      <c r="AT154" s="9">
        <v>0</v>
      </c>
      <c r="AU154" s="9">
        <v>0</v>
      </c>
      <c r="AV154" s="9">
        <v>0</v>
      </c>
      <c r="AW154" s="9">
        <v>0</v>
      </c>
      <c r="AX154" s="9">
        <f t="shared" si="61"/>
        <v>545.44615384615395</v>
      </c>
      <c r="AY154" s="9">
        <f t="shared" si="62"/>
        <v>121.13365384615385</v>
      </c>
      <c r="AZ154" s="9">
        <f t="shared" si="63"/>
        <v>196.72211538461539</v>
      </c>
      <c r="BA154" s="9">
        <f t="shared" si="64"/>
        <v>227.85000000000014</v>
      </c>
      <c r="BB154" s="9">
        <f t="shared" si="65"/>
        <v>317.59615384615392</v>
      </c>
      <c r="BC154" s="20"/>
      <c r="BD154" s="9">
        <v>262</v>
      </c>
      <c r="BF154" s="9">
        <v>215</v>
      </c>
      <c r="BH154" s="9">
        <v>36</v>
      </c>
      <c r="BI154" s="9">
        <f t="shared" si="66"/>
        <v>36</v>
      </c>
      <c r="BJ154" s="9">
        <f t="shared" si="55"/>
        <v>519.47252747252753</v>
      </c>
      <c r="BK154" s="12">
        <f t="shared" si="57"/>
        <v>36</v>
      </c>
      <c r="BP154" s="9" t="s">
        <v>240</v>
      </c>
      <c r="BQ154" s="9" t="str">
        <f t="shared" si="67"/>
        <v/>
      </c>
      <c r="BR154" s="12" t="str">
        <f t="shared" si="68"/>
        <v/>
      </c>
      <c r="BS154" s="23">
        <f t="shared" si="58"/>
        <v>46.656896703435152</v>
      </c>
      <c r="BU154" s="9">
        <v>9</v>
      </c>
      <c r="BW154" s="9">
        <v>0</v>
      </c>
      <c r="BX154" s="9">
        <v>16</v>
      </c>
      <c r="BY154" s="9">
        <v>23</v>
      </c>
      <c r="BZ154" s="9">
        <v>9</v>
      </c>
      <c r="CA154" s="9">
        <v>23</v>
      </c>
      <c r="CB154" s="9">
        <v>14</v>
      </c>
      <c r="CC154" s="9">
        <v>19</v>
      </c>
      <c r="CD154" s="9">
        <v>23</v>
      </c>
      <c r="CE154" s="9">
        <v>51</v>
      </c>
      <c r="CF154" s="9">
        <v>71</v>
      </c>
      <c r="CG154" s="9">
        <v>57</v>
      </c>
      <c r="CH154" s="9">
        <v>56</v>
      </c>
      <c r="CI154" s="9">
        <v>51</v>
      </c>
      <c r="CJ154" s="9">
        <v>46</v>
      </c>
      <c r="CK154" s="12">
        <f t="shared" si="59"/>
        <v>451</v>
      </c>
      <c r="CL154" s="9">
        <f t="shared" si="69"/>
        <v>63</v>
      </c>
      <c r="CM154" s="9">
        <f t="shared" si="70"/>
        <v>210</v>
      </c>
      <c r="CN154" s="9">
        <f t="shared" si="71"/>
        <v>119</v>
      </c>
      <c r="CO154" s="207">
        <f t="shared" si="72"/>
        <v>332</v>
      </c>
      <c r="CQ154" s="9">
        <f t="shared" si="73"/>
        <v>127</v>
      </c>
      <c r="CR154" s="9">
        <f t="shared" si="74"/>
        <v>332</v>
      </c>
    </row>
    <row r="155" spans="1:96" ht="43.5">
      <c r="A155" t="str">
        <f t="shared" si="56"/>
        <v>491</v>
      </c>
      <c r="B155">
        <f t="shared" si="60"/>
        <v>491</v>
      </c>
      <c r="C155" s="15" t="s">
        <v>163</v>
      </c>
      <c r="D155" s="11"/>
      <c r="E155" s="9">
        <f>SUM(0*0.5)</f>
        <v>0</v>
      </c>
      <c r="F155" s="9">
        <v>0</v>
      </c>
      <c r="G155" s="9">
        <v>0</v>
      </c>
      <c r="H155" s="9">
        <v>0</v>
      </c>
      <c r="I155" s="9">
        <v>0</v>
      </c>
      <c r="J155" s="9">
        <v>0</v>
      </c>
      <c r="K155" s="9">
        <v>135.833333333333</v>
      </c>
      <c r="L155" s="9">
        <v>125.32786885245901</v>
      </c>
      <c r="M155" s="9">
        <v>140.13114754098399</v>
      </c>
      <c r="N155" s="9">
        <v>78.387978142076506</v>
      </c>
      <c r="O155" s="9">
        <v>57.896174863387998</v>
      </c>
      <c r="P155" s="9">
        <v>66.2732240437158</v>
      </c>
      <c r="Q155" s="9">
        <v>61.916184971098303</v>
      </c>
      <c r="R155" s="9">
        <v>0</v>
      </c>
      <c r="S155" s="9">
        <v>0</v>
      </c>
      <c r="T155" s="9">
        <v>0</v>
      </c>
      <c r="U155" s="9">
        <v>0</v>
      </c>
      <c r="V155" s="9">
        <v>0</v>
      </c>
      <c r="W155" s="9">
        <v>0</v>
      </c>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9">
        <v>0</v>
      </c>
      <c r="AO155" s="9">
        <v>0</v>
      </c>
      <c r="AP155" s="9">
        <v>0</v>
      </c>
      <c r="AQ155" s="9">
        <v>0</v>
      </c>
      <c r="AR155" s="9">
        <v>0</v>
      </c>
      <c r="AS155" s="9">
        <v>0</v>
      </c>
      <c r="AT155" s="9">
        <v>0</v>
      </c>
      <c r="AU155" s="9">
        <v>0</v>
      </c>
      <c r="AV155" s="9">
        <v>0</v>
      </c>
      <c r="AW155" s="9">
        <v>0</v>
      </c>
      <c r="AX155" s="9">
        <f t="shared" si="61"/>
        <v>699.05420733440747</v>
      </c>
      <c r="AY155" s="9">
        <f t="shared" si="62"/>
        <v>0</v>
      </c>
      <c r="AZ155" s="9">
        <f t="shared" si="63"/>
        <v>277.69724012129257</v>
      </c>
      <c r="BA155" s="9">
        <f t="shared" si="64"/>
        <v>142.62499999999966</v>
      </c>
      <c r="BB155" s="9">
        <f t="shared" si="65"/>
        <v>556.42920733440781</v>
      </c>
      <c r="BC155" s="20"/>
      <c r="BD155" s="9">
        <v>83</v>
      </c>
      <c r="BF155" s="153">
        <v>295.39</v>
      </c>
      <c r="BH155" s="9">
        <v>12</v>
      </c>
      <c r="BI155" s="9">
        <f t="shared" si="66"/>
        <v>12</v>
      </c>
      <c r="BJ155" s="9">
        <f t="shared" si="55"/>
        <v>665.7659117470547</v>
      </c>
      <c r="BK155" s="12">
        <f t="shared" si="57"/>
        <v>12</v>
      </c>
      <c r="BP155" s="9">
        <v>0</v>
      </c>
      <c r="BQ155" s="9">
        <f t="shared" si="67"/>
        <v>0</v>
      </c>
      <c r="BR155" s="12">
        <f t="shared" si="68"/>
        <v>665.7659117470547</v>
      </c>
      <c r="BS155" s="23">
        <f t="shared" si="58"/>
        <v>0</v>
      </c>
      <c r="BU155" s="9">
        <v>0</v>
      </c>
      <c r="BW155" s="9">
        <v>0</v>
      </c>
      <c r="BX155" s="9">
        <v>0</v>
      </c>
      <c r="BY155" s="9">
        <v>0</v>
      </c>
      <c r="BZ155" s="9">
        <v>0</v>
      </c>
      <c r="CA155" s="9">
        <v>0</v>
      </c>
      <c r="CB155" s="9">
        <v>0</v>
      </c>
      <c r="CC155" s="9">
        <v>0</v>
      </c>
      <c r="CD155" s="9">
        <v>141</v>
      </c>
      <c r="CE155" s="9">
        <v>127</v>
      </c>
      <c r="CF155" s="9">
        <v>116</v>
      </c>
      <c r="CG155" s="9">
        <v>113</v>
      </c>
      <c r="CH155" s="9">
        <v>71</v>
      </c>
      <c r="CI155" s="9">
        <v>60</v>
      </c>
      <c r="CJ155" s="9">
        <v>59</v>
      </c>
      <c r="CK155" s="12">
        <f t="shared" si="59"/>
        <v>687</v>
      </c>
      <c r="CL155" s="9">
        <f t="shared" si="69"/>
        <v>0</v>
      </c>
      <c r="CM155" s="9">
        <f t="shared" si="70"/>
        <v>303</v>
      </c>
      <c r="CN155" s="9">
        <f t="shared" si="71"/>
        <v>141</v>
      </c>
      <c r="CO155" s="207">
        <f t="shared" si="72"/>
        <v>546</v>
      </c>
      <c r="CQ155" s="9">
        <f t="shared" si="73"/>
        <v>141</v>
      </c>
      <c r="CR155" s="9">
        <f t="shared" si="74"/>
        <v>546</v>
      </c>
    </row>
    <row r="156" spans="1:96" ht="29.25">
      <c r="A156" t="str">
        <f t="shared" si="56"/>
        <v>492</v>
      </c>
      <c r="B156">
        <f>A156*1</f>
        <v>492</v>
      </c>
      <c r="C156" s="16" t="s">
        <v>164</v>
      </c>
      <c r="D156" s="11"/>
      <c r="E156" s="9">
        <f>SUM(34.3076923076923*0.5)</f>
        <v>17.15384615384615</v>
      </c>
      <c r="F156" s="9">
        <v>34.496794871794897</v>
      </c>
      <c r="G156" s="9">
        <v>33.407051282051299</v>
      </c>
      <c r="H156" s="9">
        <v>35.644230769230802</v>
      </c>
      <c r="I156" s="9">
        <v>35.554487179487197</v>
      </c>
      <c r="J156" s="9">
        <v>36.625</v>
      </c>
      <c r="K156" s="9">
        <v>47.721153846153797</v>
      </c>
      <c r="L156" s="9">
        <v>47.929936305732497</v>
      </c>
      <c r="M156" s="9">
        <v>41.757961783439498</v>
      </c>
      <c r="N156" s="9">
        <v>0</v>
      </c>
      <c r="O156" s="9">
        <v>0</v>
      </c>
      <c r="P156" s="9">
        <v>0</v>
      </c>
      <c r="Q156" s="9">
        <v>0</v>
      </c>
      <c r="R156" s="9">
        <v>0</v>
      </c>
      <c r="S156" s="9">
        <v>0</v>
      </c>
      <c r="T156" s="9">
        <v>0</v>
      </c>
      <c r="U156" s="9">
        <v>0</v>
      </c>
      <c r="V156" s="9">
        <v>0</v>
      </c>
      <c r="W156" s="9">
        <v>0</v>
      </c>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0</v>
      </c>
      <c r="AN156" s="9">
        <v>0</v>
      </c>
      <c r="AO156" s="9">
        <v>0</v>
      </c>
      <c r="AP156" s="9">
        <v>0</v>
      </c>
      <c r="AQ156" s="9">
        <v>0</v>
      </c>
      <c r="AR156" s="9">
        <v>0</v>
      </c>
      <c r="AS156" s="9">
        <v>0</v>
      </c>
      <c r="AT156" s="9">
        <v>0</v>
      </c>
      <c r="AU156" s="9">
        <v>0</v>
      </c>
      <c r="AV156" s="9">
        <v>0</v>
      </c>
      <c r="AW156" s="9">
        <v>0</v>
      </c>
      <c r="AX156" s="9">
        <f t="shared" si="61"/>
        <v>346.80498530132297</v>
      </c>
      <c r="AY156" s="9">
        <f t="shared" si="62"/>
        <v>126.73701923076932</v>
      </c>
      <c r="AZ156" s="9">
        <f t="shared" si="63"/>
        <v>0</v>
      </c>
      <c r="BA156" s="9">
        <f t="shared" si="64"/>
        <v>252.63269230769237</v>
      </c>
      <c r="BB156" s="9">
        <f t="shared" si="65"/>
        <v>94.172292993630592</v>
      </c>
      <c r="BC156" s="20"/>
      <c r="BD156" s="153">
        <v>164.97</v>
      </c>
      <c r="BF156" s="153">
        <v>159.94999999999999</v>
      </c>
      <c r="BH156" s="9">
        <v>27</v>
      </c>
      <c r="BI156" s="9">
        <f t="shared" si="66"/>
        <v>27</v>
      </c>
      <c r="BJ156" s="9">
        <f t="shared" si="55"/>
        <v>330.29046219173614</v>
      </c>
      <c r="BK156" s="12">
        <f t="shared" si="57"/>
        <v>27</v>
      </c>
      <c r="BP156" s="9" t="s">
        <v>240</v>
      </c>
      <c r="BQ156" s="9" t="str">
        <f t="shared" si="67"/>
        <v/>
      </c>
      <c r="BR156" s="12" t="str">
        <f t="shared" si="68"/>
        <v/>
      </c>
      <c r="BS156" s="23">
        <f t="shared" si="58"/>
        <v>29.665337744785099</v>
      </c>
      <c r="BU156" s="9">
        <v>9</v>
      </c>
      <c r="BW156" s="26">
        <v>0</v>
      </c>
      <c r="BX156" s="26">
        <v>36</v>
      </c>
      <c r="BY156" s="26">
        <v>37</v>
      </c>
      <c r="BZ156" s="26">
        <v>37</v>
      </c>
      <c r="CA156" s="26">
        <v>35</v>
      </c>
      <c r="CB156" s="26">
        <v>38</v>
      </c>
      <c r="CC156" s="26">
        <v>37</v>
      </c>
      <c r="CD156" s="26">
        <v>50</v>
      </c>
      <c r="CE156" s="26">
        <v>54</v>
      </c>
      <c r="CF156" s="26">
        <v>48</v>
      </c>
      <c r="CG156" s="26">
        <v>0</v>
      </c>
      <c r="CH156" s="26">
        <v>0</v>
      </c>
      <c r="CI156" s="26">
        <v>0</v>
      </c>
      <c r="CJ156" s="26">
        <v>0</v>
      </c>
      <c r="CK156" s="12">
        <f t="shared" si="59"/>
        <v>354</v>
      </c>
      <c r="CL156" s="9">
        <f t="shared" si="69"/>
        <v>127</v>
      </c>
      <c r="CM156" s="9">
        <f t="shared" si="70"/>
        <v>0</v>
      </c>
      <c r="CN156" s="9">
        <f t="shared" si="71"/>
        <v>252</v>
      </c>
      <c r="CO156" s="207">
        <f t="shared" si="72"/>
        <v>102</v>
      </c>
      <c r="CQ156" s="9">
        <f t="shared" si="73"/>
        <v>270</v>
      </c>
      <c r="CR156" s="9">
        <f t="shared" si="74"/>
        <v>102</v>
      </c>
    </row>
    <row r="157" spans="1:96" ht="29.25">
      <c r="A157" t="str">
        <f t="shared" si="56"/>
        <v>493</v>
      </c>
      <c r="B157">
        <f t="shared" si="60"/>
        <v>493</v>
      </c>
      <c r="C157" s="16" t="s">
        <v>165</v>
      </c>
      <c r="D157" s="11"/>
      <c r="E157" s="9">
        <f>SUM(80.9730782523261*0.5)</f>
        <v>40.486539126163052</v>
      </c>
      <c r="F157" s="9">
        <v>79.981981981982003</v>
      </c>
      <c r="G157" s="9">
        <v>79.780780780780802</v>
      </c>
      <c r="H157" s="9">
        <v>85.816816816816797</v>
      </c>
      <c r="I157" s="9">
        <v>86.951951951951997</v>
      </c>
      <c r="J157" s="9">
        <v>92.261261261261296</v>
      </c>
      <c r="K157" s="9">
        <v>97.767164179104498</v>
      </c>
      <c r="L157" s="9">
        <v>92.665671641791107</v>
      </c>
      <c r="M157" s="9">
        <v>83.838805970149295</v>
      </c>
      <c r="N157" s="9">
        <v>42.0328358208955</v>
      </c>
      <c r="O157" s="9">
        <v>40.337313432835799</v>
      </c>
      <c r="P157" s="9">
        <v>25.982089552238801</v>
      </c>
      <c r="Q157" s="9">
        <v>17.653731343283599</v>
      </c>
      <c r="R157" s="9">
        <v>0</v>
      </c>
      <c r="S157" s="9">
        <v>0</v>
      </c>
      <c r="T157" s="9">
        <v>0</v>
      </c>
      <c r="U157" s="9">
        <v>0</v>
      </c>
      <c r="V157" s="9">
        <v>0</v>
      </c>
      <c r="W157" s="9">
        <v>0</v>
      </c>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9">
        <v>0</v>
      </c>
      <c r="AO157" s="9">
        <v>0</v>
      </c>
      <c r="AP157" s="9">
        <v>0</v>
      </c>
      <c r="AQ157" s="9">
        <v>0</v>
      </c>
      <c r="AR157" s="9">
        <v>0</v>
      </c>
      <c r="AS157" s="9">
        <v>0</v>
      </c>
      <c r="AT157" s="9">
        <v>0</v>
      </c>
      <c r="AU157" s="9">
        <v>0</v>
      </c>
      <c r="AV157" s="9">
        <v>0</v>
      </c>
      <c r="AW157" s="9">
        <v>0</v>
      </c>
      <c r="AX157" s="9">
        <f t="shared" si="61"/>
        <v>908.83479105221738</v>
      </c>
      <c r="AY157" s="9">
        <f t="shared" si="62"/>
        <v>300.36942464102981</v>
      </c>
      <c r="AZ157" s="9">
        <f t="shared" si="63"/>
        <v>132.30626865671638</v>
      </c>
      <c r="BA157" s="9">
        <f t="shared" si="64"/>
        <v>591.19882090296358</v>
      </c>
      <c r="BB157" s="9">
        <f t="shared" si="65"/>
        <v>317.63597014925381</v>
      </c>
      <c r="BC157" s="20"/>
      <c r="BD157" s="153">
        <v>432.37</v>
      </c>
      <c r="BF157" s="153">
        <v>419.22</v>
      </c>
      <c r="BH157" s="9">
        <v>42</v>
      </c>
      <c r="BI157" s="9">
        <f t="shared" si="66"/>
        <v>42</v>
      </c>
      <c r="BJ157" s="9">
        <f t="shared" si="55"/>
        <v>865.5569438592546</v>
      </c>
      <c r="BK157" s="12">
        <f t="shared" si="57"/>
        <v>42</v>
      </c>
      <c r="BP157" s="9" t="s">
        <v>240</v>
      </c>
      <c r="BQ157" s="9" t="str">
        <f t="shared" si="67"/>
        <v/>
      </c>
      <c r="BR157" s="12" t="str">
        <f t="shared" si="68"/>
        <v/>
      </c>
      <c r="BS157" s="23">
        <f t="shared" si="58"/>
        <v>77.74078278416367</v>
      </c>
      <c r="BU157" s="9">
        <v>6</v>
      </c>
      <c r="BW157" s="9">
        <v>0</v>
      </c>
      <c r="BX157" s="9">
        <v>84</v>
      </c>
      <c r="BY157" s="9">
        <v>84</v>
      </c>
      <c r="BZ157" s="9">
        <v>84</v>
      </c>
      <c r="CA157" s="9">
        <v>90</v>
      </c>
      <c r="CB157" s="9">
        <v>90</v>
      </c>
      <c r="CC157" s="9">
        <v>96</v>
      </c>
      <c r="CD157" s="9">
        <v>105</v>
      </c>
      <c r="CE157" s="9">
        <v>103</v>
      </c>
      <c r="CF157" s="9">
        <v>99</v>
      </c>
      <c r="CG157" s="9">
        <v>49</v>
      </c>
      <c r="CH157" s="9">
        <v>43</v>
      </c>
      <c r="CI157" s="9">
        <v>26</v>
      </c>
      <c r="CJ157" s="9">
        <v>22</v>
      </c>
      <c r="CK157" s="12">
        <f t="shared" si="59"/>
        <v>933</v>
      </c>
      <c r="CL157" s="9">
        <f t="shared" si="69"/>
        <v>300</v>
      </c>
      <c r="CM157" s="9">
        <f t="shared" si="70"/>
        <v>140</v>
      </c>
      <c r="CN157" s="9">
        <f t="shared" si="71"/>
        <v>591</v>
      </c>
      <c r="CO157" s="207">
        <f t="shared" si="72"/>
        <v>342</v>
      </c>
      <c r="CQ157" s="9">
        <f t="shared" si="73"/>
        <v>633</v>
      </c>
      <c r="CR157" s="9">
        <f t="shared" si="74"/>
        <v>342</v>
      </c>
    </row>
    <row r="158" spans="1:96" ht="29.25">
      <c r="A158" t="str">
        <f t="shared" si="56"/>
        <v>494</v>
      </c>
      <c r="B158">
        <f t="shared" si="60"/>
        <v>494</v>
      </c>
      <c r="C158" s="16" t="s">
        <v>166</v>
      </c>
      <c r="D158" s="11"/>
      <c r="E158" s="9">
        <f>SUM(34.0354111351098*0.5)</f>
        <v>17.017705567554898</v>
      </c>
      <c r="F158" s="9">
        <v>31.793209876543202</v>
      </c>
      <c r="G158" s="9">
        <v>38.058641975308603</v>
      </c>
      <c r="H158" s="9">
        <v>37.5555555555556</v>
      </c>
      <c r="I158" s="9">
        <v>38.179012345678998</v>
      </c>
      <c r="J158" s="9">
        <v>35.404320987654302</v>
      </c>
      <c r="K158" s="9">
        <v>40.024691358024697</v>
      </c>
      <c r="L158" s="9">
        <v>39.703703703703702</v>
      </c>
      <c r="M158" s="9">
        <v>30.617283950617299</v>
      </c>
      <c r="N158" s="9">
        <v>0</v>
      </c>
      <c r="O158" s="9">
        <v>0</v>
      </c>
      <c r="P158" s="9">
        <v>0</v>
      </c>
      <c r="Q158" s="9">
        <v>0</v>
      </c>
      <c r="R158" s="9">
        <v>0</v>
      </c>
      <c r="S158" s="9">
        <v>0</v>
      </c>
      <c r="T158" s="9">
        <v>0</v>
      </c>
      <c r="U158" s="9">
        <v>0</v>
      </c>
      <c r="V158" s="9">
        <v>0</v>
      </c>
      <c r="W158" s="9">
        <v>0</v>
      </c>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9">
        <v>0</v>
      </c>
      <c r="AO158" s="9">
        <v>0</v>
      </c>
      <c r="AP158" s="9">
        <v>0</v>
      </c>
      <c r="AQ158" s="9">
        <v>0</v>
      </c>
      <c r="AR158" s="9">
        <v>0</v>
      </c>
      <c r="AS158" s="9">
        <v>0</v>
      </c>
      <c r="AT158" s="9">
        <v>0</v>
      </c>
      <c r="AU158" s="9">
        <v>0</v>
      </c>
      <c r="AV158" s="9">
        <v>0</v>
      </c>
      <c r="AW158" s="9">
        <v>0</v>
      </c>
      <c r="AX158" s="9">
        <f t="shared" si="61"/>
        <v>323.77183158667339</v>
      </c>
      <c r="AY158" s="9">
        <f t="shared" si="62"/>
        <v>130.64636862371043</v>
      </c>
      <c r="AZ158" s="9">
        <f t="shared" si="63"/>
        <v>0</v>
      </c>
      <c r="BA158" s="9">
        <f t="shared" si="64"/>
        <v>249.93479454963631</v>
      </c>
      <c r="BB158" s="9">
        <f t="shared" si="65"/>
        <v>73.837037037037049</v>
      </c>
      <c r="BC158" s="20"/>
      <c r="BD158" s="9">
        <v>125</v>
      </c>
      <c r="BF158" s="9">
        <v>93</v>
      </c>
      <c r="BH158" s="9">
        <v>44</v>
      </c>
      <c r="BI158" s="9">
        <f t="shared" si="66"/>
        <v>44</v>
      </c>
      <c r="BJ158" s="9">
        <f t="shared" si="55"/>
        <v>308.35412532064129</v>
      </c>
      <c r="BK158" s="12">
        <f t="shared" si="57"/>
        <v>44</v>
      </c>
      <c r="BP158" s="9" t="s">
        <v>240</v>
      </c>
      <c r="BQ158" s="9" t="str">
        <f t="shared" si="67"/>
        <v/>
      </c>
      <c r="BR158" s="12" t="str">
        <f t="shared" si="68"/>
        <v/>
      </c>
      <c r="BS158" s="23">
        <f t="shared" si="58"/>
        <v>27.69510573188899</v>
      </c>
      <c r="BU158" s="9">
        <v>11</v>
      </c>
      <c r="BW158" s="9">
        <v>0</v>
      </c>
      <c r="BX158" s="9">
        <v>36</v>
      </c>
      <c r="BY158" s="9">
        <v>39</v>
      </c>
      <c r="BZ158" s="9">
        <v>33</v>
      </c>
      <c r="CA158" s="9">
        <v>38</v>
      </c>
      <c r="CB158" s="9">
        <v>39</v>
      </c>
      <c r="CC158" s="9">
        <v>41</v>
      </c>
      <c r="CD158" s="9">
        <v>36</v>
      </c>
      <c r="CE158" s="9">
        <v>38</v>
      </c>
      <c r="CF158" s="9">
        <v>45</v>
      </c>
      <c r="CG158" s="9">
        <v>0</v>
      </c>
      <c r="CH158" s="9">
        <v>0</v>
      </c>
      <c r="CI158" s="9">
        <v>0</v>
      </c>
      <c r="CJ158" s="9">
        <v>0</v>
      </c>
      <c r="CK158" s="12">
        <f t="shared" si="59"/>
        <v>327</v>
      </c>
      <c r="CL158" s="9">
        <f t="shared" si="69"/>
        <v>128</v>
      </c>
      <c r="CM158" s="9">
        <f t="shared" si="70"/>
        <v>0</v>
      </c>
      <c r="CN158" s="9">
        <f t="shared" si="71"/>
        <v>244</v>
      </c>
      <c r="CO158" s="207">
        <f t="shared" si="72"/>
        <v>83</v>
      </c>
      <c r="CQ158" s="9">
        <f t="shared" si="73"/>
        <v>262</v>
      </c>
      <c r="CR158" s="9">
        <f t="shared" si="74"/>
        <v>83</v>
      </c>
    </row>
    <row r="159" spans="1:96" ht="29.25">
      <c r="A159" t="str">
        <f t="shared" si="56"/>
        <v>495</v>
      </c>
      <c r="B159">
        <f t="shared" si="60"/>
        <v>495</v>
      </c>
      <c r="C159" s="16" t="s">
        <v>167</v>
      </c>
      <c r="D159" s="11"/>
      <c r="E159" s="9">
        <f>SUM(44.7448275862069*0.5)</f>
        <v>22.372413793103451</v>
      </c>
      <c r="F159" s="9">
        <v>45.465517241379303</v>
      </c>
      <c r="G159" s="9">
        <v>45.186206896551703</v>
      </c>
      <c r="H159" s="9">
        <v>47.451724137931002</v>
      </c>
      <c r="I159" s="9">
        <v>51.562068965517199</v>
      </c>
      <c r="J159" s="9">
        <v>51.465517241379303</v>
      </c>
      <c r="K159" s="9">
        <v>47.2</v>
      </c>
      <c r="L159" s="9">
        <v>46.596551724137903</v>
      </c>
      <c r="M159" s="9">
        <v>13.1241379310345</v>
      </c>
      <c r="N159" s="9">
        <v>0</v>
      </c>
      <c r="O159" s="9">
        <v>0</v>
      </c>
      <c r="P159" s="9">
        <v>0</v>
      </c>
      <c r="Q159" s="9">
        <v>0</v>
      </c>
      <c r="R159" s="9">
        <v>0</v>
      </c>
      <c r="S159" s="9">
        <v>0</v>
      </c>
      <c r="T159" s="9">
        <v>0</v>
      </c>
      <c r="U159" s="9">
        <v>0</v>
      </c>
      <c r="V159" s="9">
        <v>0</v>
      </c>
      <c r="W159" s="9">
        <v>0</v>
      </c>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9">
        <v>0</v>
      </c>
      <c r="AO159" s="9">
        <v>0</v>
      </c>
      <c r="AP159" s="9">
        <v>0</v>
      </c>
      <c r="AQ159" s="9">
        <v>0</v>
      </c>
      <c r="AR159" s="9">
        <v>0</v>
      </c>
      <c r="AS159" s="9">
        <v>0</v>
      </c>
      <c r="AT159" s="9">
        <v>0</v>
      </c>
      <c r="AU159" s="9">
        <v>0</v>
      </c>
      <c r="AV159" s="9">
        <v>0</v>
      </c>
      <c r="AW159" s="9">
        <v>0</v>
      </c>
      <c r="AX159" s="9">
        <f t="shared" si="61"/>
        <v>388.9453448275861</v>
      </c>
      <c r="AY159" s="9">
        <f t="shared" si="62"/>
        <v>168.49965517241372</v>
      </c>
      <c r="AZ159" s="9">
        <f t="shared" si="63"/>
        <v>0</v>
      </c>
      <c r="BA159" s="9">
        <f t="shared" si="64"/>
        <v>326.23862068965508</v>
      </c>
      <c r="BB159" s="9">
        <f t="shared" si="65"/>
        <v>62.706724137931033</v>
      </c>
      <c r="BC159" s="20"/>
      <c r="BD159" s="9">
        <v>115</v>
      </c>
      <c r="BF159" s="153">
        <v>199.93</v>
      </c>
      <c r="BH159" s="9">
        <v>24</v>
      </c>
      <c r="BI159" s="9">
        <f t="shared" si="66"/>
        <v>24</v>
      </c>
      <c r="BJ159" s="9">
        <f t="shared" si="55"/>
        <v>370.42413793103435</v>
      </c>
      <c r="BK159" s="12">
        <f t="shared" si="57"/>
        <v>24</v>
      </c>
      <c r="BP159" s="9">
        <v>7</v>
      </c>
      <c r="BQ159" s="9">
        <f t="shared" si="67"/>
        <v>7</v>
      </c>
      <c r="BR159" s="12">
        <f t="shared" si="68"/>
        <v>370.42413793103435</v>
      </c>
      <c r="BS159" s="23">
        <f t="shared" si="58"/>
        <v>7</v>
      </c>
      <c r="BU159" s="9">
        <v>0</v>
      </c>
      <c r="BW159" s="9">
        <v>0</v>
      </c>
      <c r="BX159" s="9">
        <v>62</v>
      </c>
      <c r="BY159" s="9">
        <v>48</v>
      </c>
      <c r="BZ159" s="9">
        <v>48</v>
      </c>
      <c r="CA159" s="9">
        <v>48</v>
      </c>
      <c r="CB159" s="9">
        <v>51</v>
      </c>
      <c r="CC159" s="9">
        <v>54</v>
      </c>
      <c r="CD159" s="9">
        <v>54</v>
      </c>
      <c r="CE159" s="9">
        <v>50</v>
      </c>
      <c r="CF159" s="9">
        <v>50</v>
      </c>
      <c r="CG159" s="9">
        <v>0</v>
      </c>
      <c r="CH159" s="9">
        <v>0</v>
      </c>
      <c r="CI159" s="9">
        <v>0</v>
      </c>
      <c r="CJ159" s="9">
        <v>0</v>
      </c>
      <c r="CK159" s="12">
        <f t="shared" si="59"/>
        <v>434</v>
      </c>
      <c r="CL159" s="9">
        <f t="shared" si="69"/>
        <v>175</v>
      </c>
      <c r="CM159" s="9">
        <f t="shared" si="70"/>
        <v>0</v>
      </c>
      <c r="CN159" s="9">
        <f t="shared" si="71"/>
        <v>334</v>
      </c>
      <c r="CO159" s="207">
        <f t="shared" si="72"/>
        <v>100</v>
      </c>
      <c r="CQ159" s="9">
        <f t="shared" si="73"/>
        <v>365</v>
      </c>
      <c r="CR159" s="9">
        <f t="shared" si="74"/>
        <v>100</v>
      </c>
    </row>
    <row r="160" spans="1:96" ht="29.25">
      <c r="A160" t="str">
        <f t="shared" si="56"/>
        <v>496</v>
      </c>
      <c r="B160">
        <f t="shared" si="60"/>
        <v>496</v>
      </c>
      <c r="C160" s="16" t="s">
        <v>168</v>
      </c>
      <c r="D160" s="11"/>
      <c r="E160" s="9">
        <f>SUM(22.7371428571429*0.5)</f>
        <v>11.36857142857145</v>
      </c>
      <c r="F160" s="9">
        <v>22.845714285714301</v>
      </c>
      <c r="G160" s="9">
        <v>23.06</v>
      </c>
      <c r="H160" s="9">
        <v>23.137142857142901</v>
      </c>
      <c r="I160" s="9">
        <v>26.8771428571429</v>
      </c>
      <c r="J160" s="9">
        <v>21.605714285714299</v>
      </c>
      <c r="K160" s="9">
        <v>0</v>
      </c>
      <c r="L160" s="9">
        <v>0</v>
      </c>
      <c r="M160" s="9">
        <v>0</v>
      </c>
      <c r="N160" s="9">
        <v>0</v>
      </c>
      <c r="O160" s="9">
        <v>0</v>
      </c>
      <c r="P160" s="9">
        <v>0</v>
      </c>
      <c r="Q160" s="9">
        <v>0</v>
      </c>
      <c r="R160" s="9">
        <v>0</v>
      </c>
      <c r="S160" s="9">
        <v>0</v>
      </c>
      <c r="T160" s="9">
        <v>0</v>
      </c>
      <c r="U160" s="9">
        <v>0</v>
      </c>
      <c r="V160" s="9">
        <v>0</v>
      </c>
      <c r="W160" s="9">
        <v>0</v>
      </c>
      <c r="X160" s="9">
        <v>0</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9">
        <v>0</v>
      </c>
      <c r="AO160" s="9">
        <v>0</v>
      </c>
      <c r="AP160" s="9">
        <v>0</v>
      </c>
      <c r="AQ160" s="9">
        <v>0</v>
      </c>
      <c r="AR160" s="9">
        <v>0</v>
      </c>
      <c r="AS160" s="9">
        <v>0</v>
      </c>
      <c r="AT160" s="9">
        <v>0</v>
      </c>
      <c r="AU160" s="9">
        <v>0</v>
      </c>
      <c r="AV160" s="9">
        <v>0</v>
      </c>
      <c r="AW160" s="9">
        <v>0</v>
      </c>
      <c r="AX160" s="9">
        <f t="shared" si="61"/>
        <v>135.33900000000014</v>
      </c>
      <c r="AY160" s="9">
        <f t="shared" si="62"/>
        <v>84.432000000000102</v>
      </c>
      <c r="AZ160" s="9">
        <f t="shared" si="63"/>
        <v>0</v>
      </c>
      <c r="BA160" s="9">
        <f t="shared" si="64"/>
        <v>135.33900000000014</v>
      </c>
      <c r="BB160" s="9">
        <f t="shared" si="65"/>
        <v>0</v>
      </c>
      <c r="BC160" s="20"/>
      <c r="BD160" s="9">
        <v>106</v>
      </c>
      <c r="BF160" s="9">
        <v>12</v>
      </c>
      <c r="BH160" s="9">
        <v>22</v>
      </c>
      <c r="BI160" s="9">
        <f t="shared" si="66"/>
        <v>22</v>
      </c>
      <c r="BJ160" s="9">
        <f t="shared" si="55"/>
        <v>128.89428571428584</v>
      </c>
      <c r="BK160" s="12">
        <f t="shared" si="57"/>
        <v>22</v>
      </c>
      <c r="BP160" s="9">
        <v>0</v>
      </c>
      <c r="BQ160" s="9">
        <f t="shared" si="67"/>
        <v>0</v>
      </c>
      <c r="BR160" s="12">
        <f t="shared" si="68"/>
        <v>128.89428571428584</v>
      </c>
      <c r="BS160" s="23">
        <f t="shared" si="58"/>
        <v>0</v>
      </c>
      <c r="BU160" s="9">
        <v>3</v>
      </c>
      <c r="BW160" s="9">
        <v>0</v>
      </c>
      <c r="BX160" s="9">
        <v>24</v>
      </c>
      <c r="BY160" s="9">
        <v>25</v>
      </c>
      <c r="BZ160" s="9">
        <v>24</v>
      </c>
      <c r="CA160" s="9">
        <v>25</v>
      </c>
      <c r="CB160" s="9">
        <v>30</v>
      </c>
      <c r="CC160" s="9">
        <v>26</v>
      </c>
      <c r="CD160" s="9">
        <v>30</v>
      </c>
      <c r="CE160" s="9">
        <v>0</v>
      </c>
      <c r="CF160" s="9">
        <v>0</v>
      </c>
      <c r="CG160" s="9">
        <v>0</v>
      </c>
      <c r="CH160" s="9">
        <v>0</v>
      </c>
      <c r="CI160" s="9">
        <v>0</v>
      </c>
      <c r="CJ160" s="9">
        <v>0</v>
      </c>
      <c r="CK160" s="12">
        <f t="shared" si="59"/>
        <v>172</v>
      </c>
      <c r="CL160" s="9">
        <f t="shared" si="69"/>
        <v>86</v>
      </c>
      <c r="CM160" s="9">
        <f t="shared" si="70"/>
        <v>0</v>
      </c>
      <c r="CN160" s="9">
        <f t="shared" si="71"/>
        <v>172</v>
      </c>
      <c r="CO160" s="207">
        <f t="shared" si="72"/>
        <v>0</v>
      </c>
      <c r="CQ160" s="9">
        <f t="shared" si="73"/>
        <v>184</v>
      </c>
      <c r="CR160" s="9">
        <f t="shared" si="74"/>
        <v>0</v>
      </c>
    </row>
    <row r="161" spans="1:96" ht="43.5">
      <c r="A161" t="str">
        <f t="shared" si="56"/>
        <v>497</v>
      </c>
      <c r="B161">
        <f t="shared" si="60"/>
        <v>497</v>
      </c>
      <c r="C161" s="16" t="s">
        <v>169</v>
      </c>
      <c r="D161" s="11"/>
      <c r="E161" s="9">
        <f>SUM(0*0.5)</f>
        <v>0</v>
      </c>
      <c r="F161" s="9">
        <v>0</v>
      </c>
      <c r="G161" s="9">
        <v>0</v>
      </c>
      <c r="H161" s="9">
        <v>0</v>
      </c>
      <c r="I161" s="9">
        <v>0</v>
      </c>
      <c r="J161" s="9">
        <v>0</v>
      </c>
      <c r="K161" s="9">
        <v>0</v>
      </c>
      <c r="L161" s="9">
        <v>0</v>
      </c>
      <c r="M161" s="9">
        <v>0</v>
      </c>
      <c r="N161" s="9">
        <v>45.0625</v>
      </c>
      <c r="O161" s="9">
        <v>34.389880952380899</v>
      </c>
      <c r="P161" s="9">
        <v>22.494047619047599</v>
      </c>
      <c r="Q161" s="9">
        <v>7.8095238095238102</v>
      </c>
      <c r="R161" s="9">
        <v>0</v>
      </c>
      <c r="S161" s="9">
        <v>0</v>
      </c>
      <c r="T161" s="9">
        <v>0</v>
      </c>
      <c r="U161" s="9">
        <v>0</v>
      </c>
      <c r="V161" s="9">
        <v>0</v>
      </c>
      <c r="W161" s="9">
        <v>0</v>
      </c>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9">
        <v>0</v>
      </c>
      <c r="AO161" s="9">
        <v>0</v>
      </c>
      <c r="AP161" s="9">
        <v>0</v>
      </c>
      <c r="AQ161" s="9">
        <v>0</v>
      </c>
      <c r="AR161" s="9">
        <v>0</v>
      </c>
      <c r="AS161" s="9">
        <v>0</v>
      </c>
      <c r="AT161" s="9">
        <v>0</v>
      </c>
      <c r="AU161" s="9">
        <v>0</v>
      </c>
      <c r="AV161" s="9">
        <v>0</v>
      </c>
      <c r="AW161" s="9">
        <v>0</v>
      </c>
      <c r="AX161" s="9">
        <f t="shared" si="61"/>
        <v>115.24374999999993</v>
      </c>
      <c r="AY161" s="9">
        <f t="shared" si="62"/>
        <v>0</v>
      </c>
      <c r="AZ161" s="9">
        <f t="shared" si="63"/>
        <v>115.24374999999993</v>
      </c>
      <c r="BA161" s="9">
        <f t="shared" si="64"/>
        <v>0</v>
      </c>
      <c r="BB161" s="9">
        <f t="shared" si="65"/>
        <v>115.24374999999993</v>
      </c>
      <c r="BC161" s="20"/>
      <c r="BD161" s="153">
        <v>126.39</v>
      </c>
      <c r="BF161" s="153">
        <v>122.54</v>
      </c>
      <c r="BH161" s="9">
        <v>11</v>
      </c>
      <c r="BI161" s="9">
        <f t="shared" si="66"/>
        <v>11</v>
      </c>
      <c r="BJ161" s="9">
        <f t="shared" si="55"/>
        <v>109.75595238095231</v>
      </c>
      <c r="BK161" s="12">
        <f t="shared" si="57"/>
        <v>11</v>
      </c>
      <c r="BP161" s="9" t="s">
        <v>240</v>
      </c>
      <c r="BQ161" s="9" t="str">
        <f t="shared" si="67"/>
        <v/>
      </c>
      <c r="BR161" s="12" t="str">
        <f t="shared" si="68"/>
        <v/>
      </c>
      <c r="BS161" s="23">
        <f t="shared" si="58"/>
        <v>9.8578305146195788</v>
      </c>
      <c r="BU161" s="9">
        <v>0</v>
      </c>
      <c r="BW161" s="9">
        <v>0</v>
      </c>
      <c r="BX161" s="9">
        <v>0</v>
      </c>
      <c r="BY161" s="9">
        <v>0</v>
      </c>
      <c r="BZ161" s="9">
        <v>0</v>
      </c>
      <c r="CA161" s="9">
        <v>0</v>
      </c>
      <c r="CB161" s="9">
        <v>0</v>
      </c>
      <c r="CC161" s="9">
        <v>0</v>
      </c>
      <c r="CD161" s="9">
        <v>0</v>
      </c>
      <c r="CE161" s="9">
        <v>0</v>
      </c>
      <c r="CF161" s="9">
        <v>0</v>
      </c>
      <c r="CG161" s="9">
        <v>119</v>
      </c>
      <c r="CH161" s="9">
        <v>81</v>
      </c>
      <c r="CI161" s="9">
        <v>56</v>
      </c>
      <c r="CJ161" s="9">
        <v>29</v>
      </c>
      <c r="CK161" s="12">
        <f t="shared" si="59"/>
        <v>285</v>
      </c>
      <c r="CL161" s="9">
        <f t="shared" si="69"/>
        <v>0</v>
      </c>
      <c r="CM161" s="9">
        <f t="shared" si="70"/>
        <v>285</v>
      </c>
      <c r="CN161" s="9">
        <f t="shared" si="71"/>
        <v>0</v>
      </c>
      <c r="CO161" s="207">
        <f t="shared" si="72"/>
        <v>285</v>
      </c>
      <c r="CQ161" s="9">
        <f t="shared" si="73"/>
        <v>0</v>
      </c>
      <c r="CR161" s="9">
        <f t="shared" si="74"/>
        <v>285</v>
      </c>
    </row>
    <row r="162" spans="1:96">
      <c r="A162" s="225">
        <v>498</v>
      </c>
      <c r="B162">
        <f t="shared" si="60"/>
        <v>498</v>
      </c>
      <c r="C162" s="226" t="s">
        <v>631</v>
      </c>
      <c r="D162" s="11"/>
      <c r="BC162" s="20"/>
      <c r="BD162" s="9">
        <v>113</v>
      </c>
      <c r="BF162" s="153">
        <v>115.66</v>
      </c>
      <c r="BH162" s="9" t="e">
        <v>#N/A</v>
      </c>
      <c r="BJ162" s="9" t="str">
        <f t="shared" ref="BJ162:BJ167" si="76">IFERROR(IF(BH162&gt;0,SUM(E162:Q162),""),"")</f>
        <v/>
      </c>
      <c r="BK162" s="12">
        <f>IFERROR(BH162*1,CK162*$BJ$179)</f>
        <v>30.395429030872521</v>
      </c>
      <c r="BP162" s="9" t="s">
        <v>240</v>
      </c>
      <c r="BQ162" s="9" t="str">
        <f t="shared" ref="BQ162:BQ166" si="77">IFERROR(BP162*1,"")</f>
        <v/>
      </c>
      <c r="BR162" s="12" t="str">
        <f t="shared" ref="BR162:BR166" si="78">IFERROR(IF(BP162=BQ162,SUM(E162:Q162),""),"")</f>
        <v/>
      </c>
      <c r="BS162" s="23">
        <f>IFERROR(BP162*1,CK162*$BR$179)</f>
        <v>22.004897444641362</v>
      </c>
      <c r="BW162" s="9">
        <v>0</v>
      </c>
      <c r="BX162" s="9">
        <v>48</v>
      </c>
      <c r="BY162" s="9">
        <v>50</v>
      </c>
      <c r="BZ162" s="9">
        <v>45</v>
      </c>
      <c r="CA162" s="9">
        <v>25</v>
      </c>
      <c r="CB162" s="9">
        <v>30</v>
      </c>
      <c r="CC162" s="9">
        <v>28</v>
      </c>
      <c r="CD162" s="9">
        <v>43</v>
      </c>
      <c r="CE162" s="9">
        <v>0</v>
      </c>
      <c r="CF162" s="9">
        <v>0</v>
      </c>
      <c r="CG162" s="9">
        <v>0</v>
      </c>
      <c r="CH162" s="9">
        <v>0</v>
      </c>
      <c r="CI162" s="9">
        <v>0</v>
      </c>
      <c r="CJ162" s="9">
        <v>0</v>
      </c>
      <c r="CK162" s="12">
        <f t="shared" ref="CK162:CK166" si="79">SUM(BY162,BZ162,CA162,CB162,CC162,CD162,CE162,CF162,CG162,CH162,CI162,CJ162) + (BX162*0.5)</f>
        <v>245</v>
      </c>
      <c r="CL162" s="9">
        <f t="shared" ref="CL162:CL166" si="80">SUM(BY162:CA162) +( BX162*0.5)</f>
        <v>144</v>
      </c>
      <c r="CM162" s="9">
        <f t="shared" ref="CM162:CM166" si="81">SUM(CG162:CJ162)</f>
        <v>0</v>
      </c>
      <c r="CN162" s="9">
        <f t="shared" ref="CN162:CN166" si="82">SUM(BY162:CD162) + (BX162*0.5)</f>
        <v>245</v>
      </c>
      <c r="CO162" s="207">
        <f t="shared" ref="CO162:CO166" si="83">SUM(CE162:CJ162)</f>
        <v>0</v>
      </c>
      <c r="CQ162" s="9">
        <f t="shared" ref="CQ162:CQ166" si="84">SUM(BX162:CD162)</f>
        <v>269</v>
      </c>
      <c r="CR162" s="9">
        <f t="shared" ref="CR162:CR166" si="85">SUM(CE162:CJ162)</f>
        <v>0</v>
      </c>
    </row>
    <row r="163" spans="1:96">
      <c r="A163" s="225">
        <v>499</v>
      </c>
      <c r="B163">
        <f t="shared" si="60"/>
        <v>499</v>
      </c>
      <c r="C163" s="226" t="s">
        <v>632</v>
      </c>
      <c r="D163" s="11"/>
      <c r="BC163" s="20"/>
      <c r="BD163" s="9">
        <v>125</v>
      </c>
      <c r="BF163" s="153">
        <v>97.6</v>
      </c>
      <c r="BH163" s="9" t="e">
        <v>#N/A</v>
      </c>
      <c r="BJ163" s="9" t="str">
        <f t="shared" si="76"/>
        <v/>
      </c>
      <c r="BK163" s="12">
        <f t="shared" ref="BK163:BK166" si="86">IFERROR(BH163*1,CK163*$BJ$179)</f>
        <v>24.44040620033423</v>
      </c>
      <c r="BP163" s="9" t="s">
        <v>240</v>
      </c>
      <c r="BQ163" s="9" t="str">
        <f t="shared" si="77"/>
        <v/>
      </c>
      <c r="BR163" s="12" t="str">
        <f t="shared" si="78"/>
        <v/>
      </c>
      <c r="BS163" s="23">
        <f t="shared" ref="BS163:BS166" si="87">IFERROR(BP163*1,CK163*$BR$179)</f>
        <v>17.693733863650401</v>
      </c>
      <c r="BW163" s="9">
        <v>0</v>
      </c>
      <c r="BX163" s="9">
        <v>60</v>
      </c>
      <c r="BY163" s="9">
        <v>54</v>
      </c>
      <c r="BZ163" s="9">
        <v>60</v>
      </c>
      <c r="CA163" s="9">
        <v>53</v>
      </c>
      <c r="CB163" s="9">
        <v>0</v>
      </c>
      <c r="CC163" s="9">
        <v>0</v>
      </c>
      <c r="CD163" s="9">
        <v>0</v>
      </c>
      <c r="CE163" s="9">
        <v>0</v>
      </c>
      <c r="CF163" s="9">
        <v>0</v>
      </c>
      <c r="CG163" s="9">
        <v>0</v>
      </c>
      <c r="CH163" s="9">
        <v>0</v>
      </c>
      <c r="CI163" s="9">
        <v>0</v>
      </c>
      <c r="CJ163" s="9">
        <v>0</v>
      </c>
      <c r="CK163" s="12">
        <f t="shared" si="79"/>
        <v>197</v>
      </c>
      <c r="CL163" s="9">
        <f t="shared" si="80"/>
        <v>197</v>
      </c>
      <c r="CM163" s="9">
        <f t="shared" si="81"/>
        <v>0</v>
      </c>
      <c r="CN163" s="9">
        <f t="shared" si="82"/>
        <v>197</v>
      </c>
      <c r="CO163" s="207">
        <f t="shared" si="83"/>
        <v>0</v>
      </c>
      <c r="CQ163" s="9">
        <f t="shared" si="84"/>
        <v>227</v>
      </c>
      <c r="CR163" s="9">
        <f t="shared" si="85"/>
        <v>0</v>
      </c>
    </row>
    <row r="164" spans="1:96">
      <c r="A164" s="225">
        <v>511</v>
      </c>
      <c r="B164">
        <f t="shared" si="60"/>
        <v>511</v>
      </c>
      <c r="C164" s="226" t="s">
        <v>633</v>
      </c>
      <c r="D164" s="11"/>
      <c r="BC164" s="20"/>
      <c r="BD164" s="9">
        <v>77</v>
      </c>
      <c r="BF164" s="153">
        <v>118.67</v>
      </c>
      <c r="BH164" s="9" t="e">
        <v>#N/A</v>
      </c>
      <c r="BJ164" s="9" t="str">
        <f t="shared" si="76"/>
        <v/>
      </c>
      <c r="BK164" s="12">
        <f t="shared" si="86"/>
        <v>30.829649445599269</v>
      </c>
      <c r="BP164" s="9" t="s">
        <v>240</v>
      </c>
      <c r="BQ164" s="9" t="str">
        <f t="shared" si="77"/>
        <v/>
      </c>
      <c r="BR164" s="12" t="str">
        <f t="shared" si="78"/>
        <v/>
      </c>
      <c r="BS164" s="23">
        <f t="shared" si="87"/>
        <v>22.319253122421955</v>
      </c>
      <c r="BW164" s="9">
        <v>0</v>
      </c>
      <c r="BX164" s="9">
        <v>55</v>
      </c>
      <c r="BY164" s="9">
        <v>57</v>
      </c>
      <c r="BZ164" s="9">
        <v>47</v>
      </c>
      <c r="CA164" s="9">
        <v>46</v>
      </c>
      <c r="CB164" s="9">
        <v>29</v>
      </c>
      <c r="CC164" s="9">
        <v>23</v>
      </c>
      <c r="CD164" s="9">
        <v>19</v>
      </c>
      <c r="CE164" s="9">
        <v>0</v>
      </c>
      <c r="CF164" s="9">
        <v>0</v>
      </c>
      <c r="CG164" s="9">
        <v>0</v>
      </c>
      <c r="CH164" s="9">
        <v>0</v>
      </c>
      <c r="CI164" s="9">
        <v>0</v>
      </c>
      <c r="CJ164" s="9">
        <v>0</v>
      </c>
      <c r="CK164" s="12">
        <f t="shared" si="79"/>
        <v>248.5</v>
      </c>
      <c r="CL164" s="9">
        <f t="shared" si="80"/>
        <v>177.5</v>
      </c>
      <c r="CM164" s="9">
        <f t="shared" si="81"/>
        <v>0</v>
      </c>
      <c r="CN164" s="9">
        <f t="shared" si="82"/>
        <v>248.5</v>
      </c>
      <c r="CO164" s="207">
        <f t="shared" si="83"/>
        <v>0</v>
      </c>
      <c r="CQ164" s="9">
        <f t="shared" si="84"/>
        <v>276</v>
      </c>
      <c r="CR164" s="9">
        <f t="shared" si="85"/>
        <v>0</v>
      </c>
    </row>
    <row r="165" spans="1:96">
      <c r="A165" s="225">
        <v>513</v>
      </c>
      <c r="B165">
        <f t="shared" si="60"/>
        <v>513</v>
      </c>
      <c r="C165" s="226" t="s">
        <v>634</v>
      </c>
      <c r="D165" s="11"/>
      <c r="BC165" s="20"/>
      <c r="BD165" s="9">
        <v>83</v>
      </c>
      <c r="BF165" s="9">
        <v>65</v>
      </c>
      <c r="BH165" s="9" t="e">
        <v>#N/A</v>
      </c>
      <c r="BJ165" s="9" t="str">
        <f t="shared" si="76"/>
        <v/>
      </c>
      <c r="BK165" s="12">
        <f t="shared" si="86"/>
        <v>29.961208616145768</v>
      </c>
      <c r="BP165" s="9" t="s">
        <v>240</v>
      </c>
      <c r="BQ165" s="9" t="str">
        <f t="shared" si="77"/>
        <v/>
      </c>
      <c r="BR165" s="12" t="str">
        <f t="shared" si="78"/>
        <v/>
      </c>
      <c r="BS165" s="23">
        <f t="shared" si="87"/>
        <v>21.690541766860772</v>
      </c>
      <c r="BW165" s="9">
        <v>0</v>
      </c>
      <c r="BX165" s="9">
        <v>27</v>
      </c>
      <c r="BY165" s="9">
        <v>23</v>
      </c>
      <c r="BZ165" s="9">
        <v>30</v>
      </c>
      <c r="CA165" s="9">
        <v>30</v>
      </c>
      <c r="CB165" s="9">
        <v>29</v>
      </c>
      <c r="CC165" s="9">
        <v>33</v>
      </c>
      <c r="CD165" s="9">
        <v>32</v>
      </c>
      <c r="CE165" s="9">
        <v>28</v>
      </c>
      <c r="CF165" s="9">
        <v>0</v>
      </c>
      <c r="CG165" s="9">
        <v>23</v>
      </c>
      <c r="CH165" s="9">
        <v>0</v>
      </c>
      <c r="CI165" s="9">
        <v>0</v>
      </c>
      <c r="CJ165" s="9">
        <v>0</v>
      </c>
      <c r="CK165" s="12">
        <f t="shared" si="79"/>
        <v>241.5</v>
      </c>
      <c r="CL165" s="9">
        <f t="shared" si="80"/>
        <v>96.5</v>
      </c>
      <c r="CM165" s="9">
        <f t="shared" si="81"/>
        <v>23</v>
      </c>
      <c r="CN165" s="9">
        <f t="shared" si="82"/>
        <v>190.5</v>
      </c>
      <c r="CO165" s="207">
        <f t="shared" si="83"/>
        <v>51</v>
      </c>
      <c r="CQ165" s="9">
        <f t="shared" si="84"/>
        <v>204</v>
      </c>
      <c r="CR165" s="9">
        <f t="shared" si="85"/>
        <v>51</v>
      </c>
    </row>
    <row r="166" spans="1:96">
      <c r="A166" s="225">
        <v>518</v>
      </c>
      <c r="B166">
        <f t="shared" si="60"/>
        <v>518</v>
      </c>
      <c r="C166" s="227" t="s">
        <v>635</v>
      </c>
      <c r="D166" s="11"/>
      <c r="BC166" s="20"/>
      <c r="BD166" s="153">
        <v>89.58</v>
      </c>
      <c r="BF166" s="153">
        <v>86.85</v>
      </c>
      <c r="BH166" s="9" t="e">
        <v>#N/A</v>
      </c>
      <c r="BJ166" s="9" t="str">
        <f t="shared" si="76"/>
        <v/>
      </c>
      <c r="BK166" s="12">
        <f t="shared" si="86"/>
        <v>25.0607210785153</v>
      </c>
      <c r="BP166" s="9" t="s">
        <v>240</v>
      </c>
      <c r="BQ166" s="9" t="str">
        <f t="shared" si="77"/>
        <v/>
      </c>
      <c r="BR166" s="12" t="str">
        <f t="shared" si="78"/>
        <v/>
      </c>
      <c r="BS166" s="23">
        <f t="shared" si="87"/>
        <v>18.142813403336962</v>
      </c>
      <c r="BW166" s="9">
        <v>0</v>
      </c>
      <c r="BX166" s="9">
        <v>0</v>
      </c>
      <c r="BY166" s="9">
        <v>0</v>
      </c>
      <c r="BZ166" s="9">
        <v>0</v>
      </c>
      <c r="CA166" s="9">
        <v>0</v>
      </c>
      <c r="CB166" s="9">
        <v>0</v>
      </c>
      <c r="CC166" s="9">
        <v>0</v>
      </c>
      <c r="CD166" s="9">
        <v>0</v>
      </c>
      <c r="CE166" s="9">
        <v>0</v>
      </c>
      <c r="CF166" s="9">
        <v>0</v>
      </c>
      <c r="CG166" s="9">
        <v>14</v>
      </c>
      <c r="CH166" s="9">
        <v>64</v>
      </c>
      <c r="CI166" s="9">
        <v>70</v>
      </c>
      <c r="CJ166" s="9">
        <v>54</v>
      </c>
      <c r="CK166" s="12">
        <f t="shared" si="79"/>
        <v>202</v>
      </c>
      <c r="CL166" s="9">
        <f t="shared" si="80"/>
        <v>0</v>
      </c>
      <c r="CM166" s="9">
        <f t="shared" si="81"/>
        <v>202</v>
      </c>
      <c r="CN166" s="9">
        <f t="shared" si="82"/>
        <v>0</v>
      </c>
      <c r="CO166" s="207">
        <f t="shared" si="83"/>
        <v>202</v>
      </c>
      <c r="CQ166" s="9">
        <f t="shared" si="84"/>
        <v>0</v>
      </c>
      <c r="CR166" s="9">
        <f t="shared" si="85"/>
        <v>202</v>
      </c>
    </row>
    <row r="167" spans="1:96" ht="29.25">
      <c r="A167" t="str">
        <f t="shared" si="56"/>
        <v>555</v>
      </c>
      <c r="B167">
        <f t="shared" si="60"/>
        <v>555</v>
      </c>
      <c r="C167" s="16" t="s">
        <v>170</v>
      </c>
      <c r="D167" s="11"/>
      <c r="E167" s="9">
        <f>SUM(0*0.5)</f>
        <v>0</v>
      </c>
      <c r="F167" s="9">
        <v>0</v>
      </c>
      <c r="G167" s="9">
        <v>0</v>
      </c>
      <c r="H167" s="9">
        <v>0</v>
      </c>
      <c r="I167" s="9">
        <v>0</v>
      </c>
      <c r="J167" s="9">
        <v>0</v>
      </c>
      <c r="K167" s="9">
        <v>0</v>
      </c>
      <c r="L167" s="9">
        <v>0</v>
      </c>
      <c r="M167" s="9">
        <v>0</v>
      </c>
      <c r="N167" s="9">
        <v>0</v>
      </c>
      <c r="O167" s="9">
        <v>0</v>
      </c>
      <c r="P167" s="9">
        <v>0</v>
      </c>
      <c r="Q167" s="9">
        <v>0</v>
      </c>
      <c r="R167" s="9">
        <v>0</v>
      </c>
      <c r="S167" s="9">
        <v>2.1702137096774199</v>
      </c>
      <c r="T167" s="9">
        <v>7.2623640950107902</v>
      </c>
      <c r="U167" s="9">
        <v>23.926536035488599</v>
      </c>
      <c r="V167" s="9">
        <v>20.9669404472533</v>
      </c>
      <c r="W167" s="9">
        <v>29.876273897058802</v>
      </c>
      <c r="X167" s="9">
        <v>23.774104605993301</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9">
        <v>0</v>
      </c>
      <c r="AO167" s="9">
        <v>0</v>
      </c>
      <c r="AP167" s="9">
        <v>0</v>
      </c>
      <c r="AQ167" s="9">
        <v>0</v>
      </c>
      <c r="AR167" s="9">
        <v>4.5294117647058796</v>
      </c>
      <c r="AS167" s="9">
        <v>1.4666666666666699</v>
      </c>
      <c r="AT167" s="9">
        <v>7.5813725490196102</v>
      </c>
      <c r="AU167" s="9">
        <v>8.2392156862745107</v>
      </c>
      <c r="AV167" s="9">
        <v>8.4009803921568604</v>
      </c>
      <c r="AW167" s="9">
        <v>1.38039215686275</v>
      </c>
      <c r="AX167" s="9">
        <f t="shared" si="61"/>
        <v>146.55319560647692</v>
      </c>
      <c r="AY167" s="9">
        <f t="shared" si="62"/>
        <v>0</v>
      </c>
      <c r="AZ167" s="9">
        <f t="shared" si="63"/>
        <v>130.35310655861312</v>
      </c>
      <c r="BA167" s="9">
        <f t="shared" si="64"/>
        <v>0</v>
      </c>
      <c r="BB167" s="9">
        <f t="shared" si="65"/>
        <v>146.55319560647692</v>
      </c>
      <c r="BC167" s="20"/>
      <c r="BD167" s="9">
        <v>84.8</v>
      </c>
      <c r="BF167" s="153">
        <v>54.61</v>
      </c>
      <c r="BH167" s="9">
        <v>27</v>
      </c>
      <c r="BI167" s="9">
        <f t="shared" ref="BI167" si="88">IFERROR(BH167*1,"")</f>
        <v>27</v>
      </c>
      <c r="BJ167" s="9">
        <f t="shared" si="76"/>
        <v>0</v>
      </c>
      <c r="BK167" s="12">
        <f>IFERROR(BH167*1,SUM(E167:Q167)*$BJ$179)</f>
        <v>27</v>
      </c>
      <c r="BP167" s="9" t="e">
        <v>#N/A</v>
      </c>
      <c r="BQ167" s="9" t="str">
        <f t="shared" si="67"/>
        <v/>
      </c>
      <c r="BR167" s="12" t="str">
        <f t="shared" si="68"/>
        <v/>
      </c>
      <c r="BS167" s="23">
        <f t="shared" ref="BS167:BS176" si="89">IFERROR(BP167*1,SUM(E167:Q167)*$BR$179)</f>
        <v>0</v>
      </c>
      <c r="BU167" s="9">
        <v>0</v>
      </c>
      <c r="BW167" s="9">
        <v>0</v>
      </c>
      <c r="BX167" s="9">
        <v>0</v>
      </c>
      <c r="BY167" s="9">
        <v>0</v>
      </c>
      <c r="BZ167" s="9">
        <v>0</v>
      </c>
      <c r="CA167" s="9">
        <v>0</v>
      </c>
      <c r="CB167" s="9">
        <v>0</v>
      </c>
      <c r="CC167" s="9">
        <v>0</v>
      </c>
      <c r="CD167" s="9">
        <v>0</v>
      </c>
      <c r="CE167" s="9">
        <v>2</v>
      </c>
      <c r="CF167" s="9">
        <v>9</v>
      </c>
      <c r="CG167" s="9">
        <v>22</v>
      </c>
      <c r="CH167" s="9">
        <v>30</v>
      </c>
      <c r="CI167" s="9">
        <v>24</v>
      </c>
      <c r="CJ167" s="9">
        <v>40</v>
      </c>
      <c r="CK167" s="12">
        <f t="shared" si="59"/>
        <v>127</v>
      </c>
      <c r="CL167" s="9">
        <f t="shared" si="69"/>
        <v>0</v>
      </c>
      <c r="CM167" s="9">
        <f t="shared" si="70"/>
        <v>116</v>
      </c>
      <c r="CN167" s="9">
        <f t="shared" si="71"/>
        <v>0</v>
      </c>
      <c r="CO167" s="207">
        <f t="shared" si="72"/>
        <v>127</v>
      </c>
      <c r="CQ167" s="9">
        <f t="shared" si="73"/>
        <v>0</v>
      </c>
      <c r="CR167" s="9">
        <f t="shared" si="74"/>
        <v>127</v>
      </c>
    </row>
    <row r="168" spans="1:96" ht="29.25">
      <c r="A168" t="str">
        <f t="shared" si="56"/>
        <v>559</v>
      </c>
      <c r="B168">
        <f>A168*1</f>
        <v>559</v>
      </c>
      <c r="C168" s="16" t="s">
        <v>171</v>
      </c>
      <c r="D168" s="11"/>
      <c r="E168" s="9">
        <f>SUM(25.0297619047619*0.5)</f>
        <v>12.514880952380951</v>
      </c>
      <c r="F168" s="9">
        <v>27.0803571428571</v>
      </c>
      <c r="G168" s="9">
        <v>27.380952380952401</v>
      </c>
      <c r="H168" s="9">
        <v>27.220238095238098</v>
      </c>
      <c r="I168" s="9">
        <v>31.2708333333333</v>
      </c>
      <c r="J168" s="9">
        <v>31.1875</v>
      </c>
      <c r="K168" s="9">
        <v>32.386904761904802</v>
      </c>
      <c r="L168" s="9">
        <v>31.991071428571399</v>
      </c>
      <c r="M168" s="9">
        <v>30.913690476190499</v>
      </c>
      <c r="N168" s="9">
        <v>32.529761904761898</v>
      </c>
      <c r="O168" s="9">
        <v>17.235119047619001</v>
      </c>
      <c r="P168" s="9">
        <v>22.3720238095238</v>
      </c>
      <c r="Q168" s="9">
        <v>25.5446428571429</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9">
        <v>0</v>
      </c>
      <c r="AO168" s="9">
        <v>0</v>
      </c>
      <c r="AP168" s="9">
        <v>0</v>
      </c>
      <c r="AQ168" s="9">
        <v>0</v>
      </c>
      <c r="AR168" s="9">
        <v>0</v>
      </c>
      <c r="AS168" s="9">
        <v>0</v>
      </c>
      <c r="AT168" s="9">
        <v>0</v>
      </c>
      <c r="AU168" s="9">
        <v>0</v>
      </c>
      <c r="AV168" s="9">
        <v>0</v>
      </c>
      <c r="AW168" s="9">
        <v>0</v>
      </c>
      <c r="AX168" s="9">
        <f t="shared" si="61"/>
        <v>367.10937499999994</v>
      </c>
      <c r="AY168" s="9">
        <f t="shared" si="62"/>
        <v>98.906249999999986</v>
      </c>
      <c r="AZ168" s="9">
        <f t="shared" si="63"/>
        <v>102.565625</v>
      </c>
      <c r="BA168" s="9">
        <f t="shared" si="64"/>
        <v>198.49375000000003</v>
      </c>
      <c r="BB168" s="9">
        <f t="shared" si="65"/>
        <v>168.61562499999997</v>
      </c>
      <c r="BC168" s="20"/>
      <c r="BD168" s="153">
        <v>169.84</v>
      </c>
      <c r="BF168" s="153">
        <v>164.68</v>
      </c>
      <c r="BH168" s="9">
        <v>12</v>
      </c>
      <c r="BI168" s="9">
        <f t="shared" si="66"/>
        <v>12</v>
      </c>
      <c r="BJ168" s="9">
        <f t="shared" si="55"/>
        <v>349.62797619047615</v>
      </c>
      <c r="BK168" s="12">
        <f>IFERROR(BH168*1,SUM(E168:Q168)*$BJ$179)</f>
        <v>12</v>
      </c>
      <c r="BP168" s="9" t="s">
        <v>240</v>
      </c>
      <c r="BQ168" s="9" t="str">
        <f t="shared" si="67"/>
        <v/>
      </c>
      <c r="BR168" s="12" t="str">
        <f t="shared" si="68"/>
        <v/>
      </c>
      <c r="BS168" s="23">
        <f t="shared" si="89"/>
        <v>31.402154121832407</v>
      </c>
      <c r="BU168" s="9">
        <v>0</v>
      </c>
      <c r="BW168" s="9">
        <v>0</v>
      </c>
      <c r="BX168" s="9">
        <v>26</v>
      </c>
      <c r="BY168" s="9">
        <v>28</v>
      </c>
      <c r="BZ168" s="9">
        <v>28</v>
      </c>
      <c r="CA168" s="9">
        <v>28</v>
      </c>
      <c r="CB168" s="9">
        <v>32</v>
      </c>
      <c r="CC168" s="9">
        <v>32</v>
      </c>
      <c r="CD168" s="9">
        <v>32</v>
      </c>
      <c r="CE168" s="9">
        <v>32</v>
      </c>
      <c r="CF168" s="9">
        <v>33</v>
      </c>
      <c r="CG168" s="9">
        <v>39</v>
      </c>
      <c r="CH168" s="9">
        <v>25</v>
      </c>
      <c r="CI168" s="9">
        <v>25</v>
      </c>
      <c r="CJ168" s="9">
        <v>23</v>
      </c>
      <c r="CK168" s="12">
        <f t="shared" si="59"/>
        <v>370</v>
      </c>
      <c r="CL168" s="9">
        <f t="shared" si="69"/>
        <v>97</v>
      </c>
      <c r="CM168" s="9">
        <f t="shared" si="70"/>
        <v>112</v>
      </c>
      <c r="CN168" s="9">
        <f t="shared" si="71"/>
        <v>193</v>
      </c>
      <c r="CO168" s="207">
        <f t="shared" si="72"/>
        <v>177</v>
      </c>
      <c r="CQ168" s="9">
        <f t="shared" si="73"/>
        <v>206</v>
      </c>
      <c r="CR168" s="9">
        <f t="shared" si="74"/>
        <v>177</v>
      </c>
    </row>
    <row r="169" spans="1:96">
      <c r="A169" t="str">
        <f t="shared" ref="A169:A176" si="90">RIGHT(C169,3)</f>
        <v>751</v>
      </c>
      <c r="B169">
        <f t="shared" ref="B169:B176" si="91">A169*1</f>
        <v>751</v>
      </c>
      <c r="C169" s="61" t="s">
        <v>172</v>
      </c>
      <c r="D169" s="11"/>
      <c r="E169" s="9">
        <f>SUM(0*0.5)</f>
        <v>0</v>
      </c>
      <c r="F169" s="9">
        <v>0</v>
      </c>
      <c r="G169" s="9">
        <v>0</v>
      </c>
      <c r="H169" s="9">
        <v>0</v>
      </c>
      <c r="I169" s="9">
        <v>0</v>
      </c>
      <c r="J169" s="9">
        <v>0</v>
      </c>
      <c r="K169" s="9">
        <v>0</v>
      </c>
      <c r="L169" s="9">
        <v>0</v>
      </c>
      <c r="M169" s="9">
        <v>0</v>
      </c>
      <c r="N169" s="9">
        <v>0</v>
      </c>
      <c r="O169" s="9">
        <v>77.800155096501697</v>
      </c>
      <c r="P169" s="9">
        <v>65.621350354413096</v>
      </c>
      <c r="Q169" s="9">
        <v>47.423165521073003</v>
      </c>
      <c r="R169" s="9">
        <v>0</v>
      </c>
      <c r="S169" s="9">
        <v>0</v>
      </c>
      <c r="T169" s="9">
        <v>0</v>
      </c>
      <c r="U169" s="9">
        <v>0</v>
      </c>
      <c r="V169" s="9">
        <v>0</v>
      </c>
      <c r="W169" s="9">
        <v>0</v>
      </c>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9">
        <v>0</v>
      </c>
      <c r="AO169" s="9">
        <v>0</v>
      </c>
      <c r="AP169" s="9">
        <v>0</v>
      </c>
      <c r="AQ169" s="9">
        <v>0</v>
      </c>
      <c r="AR169" s="9">
        <v>0</v>
      </c>
      <c r="AS169" s="9">
        <v>0</v>
      </c>
      <c r="AT169" s="9">
        <v>0</v>
      </c>
      <c r="AU169" s="9">
        <v>0</v>
      </c>
      <c r="AV169" s="9">
        <v>0</v>
      </c>
      <c r="AW169" s="9">
        <v>0</v>
      </c>
      <c r="AX169" s="9">
        <f t="shared" si="61"/>
        <v>200.38690452058719</v>
      </c>
      <c r="AY169" s="9">
        <f t="shared" si="62"/>
        <v>0</v>
      </c>
      <c r="AZ169" s="9">
        <f t="shared" si="63"/>
        <v>200.38690452058719</v>
      </c>
      <c r="BA169" s="9">
        <f t="shared" si="64"/>
        <v>0</v>
      </c>
      <c r="BB169" s="9">
        <f t="shared" si="65"/>
        <v>200.38690452058719</v>
      </c>
      <c r="BC169" s="20"/>
      <c r="BD169" s="153">
        <v>88.25</v>
      </c>
      <c r="BF169" s="153">
        <v>85.56</v>
      </c>
      <c r="BH169" s="9" t="e">
        <v>#N/A</v>
      </c>
      <c r="BI169" s="9" t="str">
        <f t="shared" si="66"/>
        <v/>
      </c>
      <c r="BJ169" s="9" t="str">
        <f t="shared" si="55"/>
        <v/>
      </c>
      <c r="BK169" s="12">
        <f>IFERROR(BH169*1,SUM(E169:Q169)*$BJ$179)</f>
        <v>23.676757765099069</v>
      </c>
      <c r="BP169" s="9">
        <v>0</v>
      </c>
      <c r="BQ169" s="9">
        <f t="shared" si="67"/>
        <v>0</v>
      </c>
      <c r="BR169" s="12">
        <f t="shared" si="68"/>
        <v>190.8446709719878</v>
      </c>
      <c r="BS169" s="23">
        <f t="shared" si="89"/>
        <v>0</v>
      </c>
      <c r="BU169" s="9">
        <v>0</v>
      </c>
      <c r="BW169" s="9">
        <v>0</v>
      </c>
      <c r="BX169" s="9">
        <v>0</v>
      </c>
      <c r="BY169" s="9">
        <v>0</v>
      </c>
      <c r="BZ169" s="9">
        <v>0</v>
      </c>
      <c r="CA169" s="9">
        <v>0</v>
      </c>
      <c r="CB169" s="9">
        <v>0</v>
      </c>
      <c r="CC169" s="9">
        <v>0</v>
      </c>
      <c r="CD169" s="9">
        <v>0</v>
      </c>
      <c r="CE169" s="9">
        <v>0</v>
      </c>
      <c r="CF169" s="9">
        <v>0</v>
      </c>
      <c r="CG169" s="9">
        <v>0</v>
      </c>
      <c r="CH169" s="9">
        <v>67</v>
      </c>
      <c r="CI169" s="9">
        <v>61</v>
      </c>
      <c r="CJ169" s="9">
        <v>71</v>
      </c>
      <c r="CK169" s="12">
        <f t="shared" ref="CK169:CK176" si="92">SUM(BY169,BZ169,CA169,CB169,CC169,CD169,CE169,CF169,CG169,CH169,CI169,CJ169) + (BX169*0.5)</f>
        <v>199</v>
      </c>
      <c r="CL169" s="9">
        <f t="shared" si="69"/>
        <v>0</v>
      </c>
      <c r="CM169" s="9">
        <f t="shared" si="70"/>
        <v>199</v>
      </c>
      <c r="CN169" s="9">
        <f t="shared" si="71"/>
        <v>0</v>
      </c>
      <c r="CO169" s="207">
        <f t="shared" si="72"/>
        <v>199</v>
      </c>
      <c r="CQ169" s="9">
        <f t="shared" si="73"/>
        <v>0</v>
      </c>
      <c r="CR169" s="9">
        <f t="shared" si="74"/>
        <v>199</v>
      </c>
    </row>
    <row r="170" spans="1:96" ht="43.5">
      <c r="A170" t="str">
        <f t="shared" si="90"/>
        <v>768</v>
      </c>
      <c r="B170">
        <f t="shared" si="91"/>
        <v>768</v>
      </c>
      <c r="C170" s="16" t="s">
        <v>173</v>
      </c>
      <c r="D170" s="11"/>
      <c r="E170" s="9">
        <f t="shared" ref="E170:E172" si="93">SUM(0*0.5)</f>
        <v>0</v>
      </c>
      <c r="F170" s="9">
        <v>0</v>
      </c>
      <c r="G170" s="9">
        <v>0</v>
      </c>
      <c r="H170" s="9">
        <v>0</v>
      </c>
      <c r="I170" s="9">
        <v>0</v>
      </c>
      <c r="J170" s="9">
        <v>0</v>
      </c>
      <c r="K170" s="9">
        <v>0</v>
      </c>
      <c r="L170" s="9">
        <v>0</v>
      </c>
      <c r="M170" s="9">
        <v>0</v>
      </c>
      <c r="N170" s="9">
        <v>60.3735294117647</v>
      </c>
      <c r="O170" s="9">
        <v>49.205882352941202</v>
      </c>
      <c r="P170" s="9">
        <v>47.826470588235303</v>
      </c>
      <c r="Q170" s="9">
        <v>31.15</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c r="AQ170" s="9">
        <v>0</v>
      </c>
      <c r="AR170" s="9">
        <v>0</v>
      </c>
      <c r="AS170" s="9">
        <v>0</v>
      </c>
      <c r="AT170" s="9">
        <v>0</v>
      </c>
      <c r="AU170" s="9">
        <v>0</v>
      </c>
      <c r="AV170" s="9">
        <v>0</v>
      </c>
      <c r="AW170" s="9">
        <v>0</v>
      </c>
      <c r="AX170" s="9">
        <f t="shared" si="61"/>
        <v>197.98367647058828</v>
      </c>
      <c r="AY170" s="9">
        <f t="shared" si="62"/>
        <v>0</v>
      </c>
      <c r="AZ170" s="9">
        <f t="shared" si="63"/>
        <v>197.98367647058828</v>
      </c>
      <c r="BA170" s="9">
        <f t="shared" si="64"/>
        <v>0</v>
      </c>
      <c r="BB170" s="9">
        <f t="shared" si="65"/>
        <v>197.98367647058828</v>
      </c>
      <c r="BC170" s="20"/>
      <c r="BD170" s="153">
        <v>88.69</v>
      </c>
      <c r="BF170" s="153">
        <v>85.99</v>
      </c>
      <c r="BH170" s="9" t="s">
        <v>240</v>
      </c>
      <c r="BI170" s="9" t="str">
        <f t="shared" si="66"/>
        <v/>
      </c>
      <c r="BJ170" s="9">
        <f t="shared" si="55"/>
        <v>188.55588235294121</v>
      </c>
      <c r="BK170" s="12">
        <v>3</v>
      </c>
      <c r="BP170" s="9">
        <v>0</v>
      </c>
      <c r="BQ170" s="9">
        <f t="shared" si="67"/>
        <v>0</v>
      </c>
      <c r="BR170" s="12">
        <f t="shared" si="68"/>
        <v>188.55588235294121</v>
      </c>
      <c r="BS170" s="23">
        <f t="shared" si="89"/>
        <v>0</v>
      </c>
      <c r="BU170" s="9">
        <v>0</v>
      </c>
      <c r="BW170" s="26">
        <v>0</v>
      </c>
      <c r="BX170" s="26">
        <v>0</v>
      </c>
      <c r="BY170" s="26">
        <v>0</v>
      </c>
      <c r="BZ170" s="26">
        <v>0</v>
      </c>
      <c r="CA170" s="26">
        <v>0</v>
      </c>
      <c r="CB170" s="26">
        <v>0</v>
      </c>
      <c r="CC170" s="26">
        <v>0</v>
      </c>
      <c r="CD170" s="26">
        <v>0</v>
      </c>
      <c r="CE170" s="26">
        <v>0</v>
      </c>
      <c r="CF170" s="26">
        <v>0</v>
      </c>
      <c r="CG170" s="26">
        <v>62</v>
      </c>
      <c r="CH170" s="26">
        <v>50</v>
      </c>
      <c r="CI170" s="26">
        <v>43</v>
      </c>
      <c r="CJ170" s="26">
        <v>45</v>
      </c>
      <c r="CK170" s="12">
        <f t="shared" si="92"/>
        <v>200</v>
      </c>
      <c r="CL170" s="9">
        <f t="shared" si="69"/>
        <v>0</v>
      </c>
      <c r="CM170" s="9">
        <f t="shared" si="70"/>
        <v>200</v>
      </c>
      <c r="CN170" s="9">
        <f t="shared" si="71"/>
        <v>0</v>
      </c>
      <c r="CO170" s="207">
        <f t="shared" si="72"/>
        <v>200</v>
      </c>
      <c r="CQ170" s="9">
        <f t="shared" si="73"/>
        <v>0</v>
      </c>
      <c r="CR170" s="9">
        <f t="shared" si="74"/>
        <v>200</v>
      </c>
    </row>
    <row r="171" spans="1:96" ht="43.5">
      <c r="A171" t="str">
        <f t="shared" si="90"/>
        <v>785</v>
      </c>
      <c r="B171">
        <f t="shared" si="91"/>
        <v>785</v>
      </c>
      <c r="C171" s="16" t="s">
        <v>174</v>
      </c>
      <c r="D171" s="11"/>
      <c r="E171" s="9">
        <f t="shared" si="93"/>
        <v>0</v>
      </c>
      <c r="F171" s="9">
        <v>0</v>
      </c>
      <c r="G171" s="9">
        <v>0</v>
      </c>
      <c r="H171" s="9">
        <v>0</v>
      </c>
      <c r="I171" s="9">
        <v>0</v>
      </c>
      <c r="J171" s="9">
        <v>0</v>
      </c>
      <c r="K171" s="9">
        <v>0</v>
      </c>
      <c r="L171" s="9">
        <v>0</v>
      </c>
      <c r="M171" s="9">
        <v>0</v>
      </c>
      <c r="N171" s="9">
        <v>45.677325581395401</v>
      </c>
      <c r="O171" s="9">
        <v>45.761627906976699</v>
      </c>
      <c r="P171" s="9">
        <v>49.348837209302303</v>
      </c>
      <c r="Q171" s="9">
        <v>42.296511627907002</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9">
        <v>0</v>
      </c>
      <c r="AO171" s="9">
        <v>0</v>
      </c>
      <c r="AP171" s="9">
        <v>0</v>
      </c>
      <c r="AQ171" s="9">
        <v>0</v>
      </c>
      <c r="AR171" s="9">
        <v>0</v>
      </c>
      <c r="AS171" s="9">
        <v>0</v>
      </c>
      <c r="AT171" s="9">
        <v>0</v>
      </c>
      <c r="AU171" s="9">
        <v>0</v>
      </c>
      <c r="AV171" s="9">
        <v>0</v>
      </c>
      <c r="AW171" s="9">
        <v>0</v>
      </c>
      <c r="AX171" s="9">
        <f t="shared" si="61"/>
        <v>192.23851744186049</v>
      </c>
      <c r="AY171" s="9">
        <f t="shared" si="62"/>
        <v>0</v>
      </c>
      <c r="AZ171" s="9">
        <f t="shared" si="63"/>
        <v>192.23851744186049</v>
      </c>
      <c r="BA171" s="9">
        <f t="shared" si="64"/>
        <v>0</v>
      </c>
      <c r="BB171" s="9">
        <f t="shared" si="65"/>
        <v>192.23851744186049</v>
      </c>
      <c r="BC171" s="20"/>
      <c r="BD171" s="153">
        <v>86.03</v>
      </c>
      <c r="BF171" s="153">
        <v>83.41</v>
      </c>
      <c r="BH171" s="9" t="s">
        <v>240</v>
      </c>
      <c r="BI171" s="9" t="str">
        <f t="shared" si="66"/>
        <v/>
      </c>
      <c r="BJ171" s="9">
        <f t="shared" si="55"/>
        <v>183.0843023255814</v>
      </c>
      <c r="BK171" s="12">
        <v>3</v>
      </c>
      <c r="BP171" s="9" t="s">
        <v>240</v>
      </c>
      <c r="BQ171" s="9" t="str">
        <f t="shared" si="67"/>
        <v/>
      </c>
      <c r="BR171" s="12" t="str">
        <f t="shared" si="68"/>
        <v/>
      </c>
      <c r="BS171" s="23">
        <f t="shared" si="89"/>
        <v>16.443882842441358</v>
      </c>
      <c r="BU171" s="9">
        <v>12</v>
      </c>
      <c r="BW171" s="26">
        <v>0</v>
      </c>
      <c r="BX171" s="26">
        <v>0</v>
      </c>
      <c r="BY171" s="26">
        <v>0</v>
      </c>
      <c r="BZ171" s="26">
        <v>0</v>
      </c>
      <c r="CA171" s="26">
        <v>0</v>
      </c>
      <c r="CB171" s="26">
        <v>0</v>
      </c>
      <c r="CC171" s="26">
        <v>0</v>
      </c>
      <c r="CD171" s="26">
        <v>0</v>
      </c>
      <c r="CE171" s="26">
        <v>0</v>
      </c>
      <c r="CF171" s="26">
        <v>0</v>
      </c>
      <c r="CG171" s="26">
        <v>60</v>
      </c>
      <c r="CH171" s="26">
        <v>44</v>
      </c>
      <c r="CI171" s="26">
        <v>40</v>
      </c>
      <c r="CJ171" s="26">
        <v>50</v>
      </c>
      <c r="CK171" s="12">
        <f t="shared" si="92"/>
        <v>194</v>
      </c>
      <c r="CL171" s="9">
        <f t="shared" si="69"/>
        <v>0</v>
      </c>
      <c r="CM171" s="9">
        <f t="shared" si="70"/>
        <v>194</v>
      </c>
      <c r="CN171" s="9">
        <f t="shared" si="71"/>
        <v>0</v>
      </c>
      <c r="CO171" s="207">
        <f t="shared" si="72"/>
        <v>194</v>
      </c>
      <c r="CQ171" s="9">
        <f t="shared" si="73"/>
        <v>0</v>
      </c>
      <c r="CR171" s="9">
        <f t="shared" si="74"/>
        <v>194</v>
      </c>
    </row>
    <row r="172" spans="1:96" ht="29.25">
      <c r="A172" t="str">
        <f t="shared" si="90"/>
        <v>790</v>
      </c>
      <c r="B172">
        <f t="shared" si="91"/>
        <v>790</v>
      </c>
      <c r="C172" s="16" t="s">
        <v>175</v>
      </c>
      <c r="D172" s="11"/>
      <c r="E172" s="9">
        <f t="shared" si="93"/>
        <v>0</v>
      </c>
      <c r="F172" s="9">
        <v>0</v>
      </c>
      <c r="G172" s="9">
        <v>0</v>
      </c>
      <c r="H172" s="9">
        <v>0</v>
      </c>
      <c r="I172" s="9">
        <v>0</v>
      </c>
      <c r="J172" s="9">
        <v>0</v>
      </c>
      <c r="K172" s="9">
        <v>0</v>
      </c>
      <c r="L172" s="9">
        <v>0</v>
      </c>
      <c r="M172" s="9">
        <v>0</v>
      </c>
      <c r="N172" s="9">
        <v>15.119901815533</v>
      </c>
      <c r="O172" s="9">
        <v>47.753609531645701</v>
      </c>
      <c r="P172" s="9">
        <v>64.432356083192104</v>
      </c>
      <c r="Q172" s="9">
        <v>59.650186476361597</v>
      </c>
      <c r="R172" s="9">
        <v>0</v>
      </c>
      <c r="S172" s="9">
        <v>0</v>
      </c>
      <c r="T172" s="9">
        <v>0</v>
      </c>
      <c r="U172" s="9">
        <v>0</v>
      </c>
      <c r="V172" s="9">
        <v>0</v>
      </c>
      <c r="W172" s="9">
        <v>0</v>
      </c>
      <c r="X172" s="9">
        <v>0</v>
      </c>
      <c r="Y172" s="9">
        <v>0</v>
      </c>
      <c r="Z172" s="9">
        <v>0</v>
      </c>
      <c r="AA172" s="9">
        <v>0</v>
      </c>
      <c r="AB172" s="9">
        <v>0</v>
      </c>
      <c r="AC172" s="9">
        <v>0</v>
      </c>
      <c r="AD172" s="9">
        <v>0</v>
      </c>
      <c r="AE172" s="9">
        <v>0</v>
      </c>
      <c r="AF172" s="9">
        <v>0</v>
      </c>
      <c r="AG172" s="9">
        <v>0</v>
      </c>
      <c r="AH172" s="9">
        <v>0</v>
      </c>
      <c r="AI172" s="9">
        <v>0</v>
      </c>
      <c r="AJ172" s="9">
        <v>0</v>
      </c>
      <c r="AK172" s="9">
        <v>0</v>
      </c>
      <c r="AL172" s="9">
        <v>0</v>
      </c>
      <c r="AM172" s="9">
        <v>0</v>
      </c>
      <c r="AN172" s="9">
        <v>0</v>
      </c>
      <c r="AO172" s="9">
        <v>0</v>
      </c>
      <c r="AP172" s="9">
        <v>0</v>
      </c>
      <c r="AQ172" s="9">
        <v>0</v>
      </c>
      <c r="AR172" s="9">
        <v>0</v>
      </c>
      <c r="AS172" s="9">
        <v>0</v>
      </c>
      <c r="AT172" s="9">
        <v>0</v>
      </c>
      <c r="AU172" s="9">
        <v>0</v>
      </c>
      <c r="AV172" s="9">
        <v>0</v>
      </c>
      <c r="AW172" s="9">
        <v>0</v>
      </c>
      <c r="AX172" s="9">
        <f t="shared" si="61"/>
        <v>196.30385660206903</v>
      </c>
      <c r="AY172" s="9">
        <f t="shared" si="62"/>
        <v>0</v>
      </c>
      <c r="AZ172" s="9">
        <f t="shared" si="63"/>
        <v>196.30385660206903</v>
      </c>
      <c r="BA172" s="9">
        <f t="shared" si="64"/>
        <v>0</v>
      </c>
      <c r="BB172" s="9">
        <f t="shared" si="65"/>
        <v>196.30385660206903</v>
      </c>
      <c r="BC172" s="20"/>
      <c r="BD172" s="153">
        <v>88.69</v>
      </c>
      <c r="BF172" s="153">
        <v>85.99</v>
      </c>
      <c r="BH172" s="9" t="e">
        <v>#N/A</v>
      </c>
      <c r="BI172" s="9" t="str">
        <f t="shared" si="66"/>
        <v/>
      </c>
      <c r="BJ172" s="9" t="str">
        <f t="shared" si="55"/>
        <v/>
      </c>
      <c r="BK172" s="12">
        <f>IFERROR(BH172*1,SUM(E172:Q172)*$BJ$179)</f>
        <v>23.194324360873722</v>
      </c>
      <c r="BP172" s="9">
        <v>0</v>
      </c>
      <c r="BQ172" s="9">
        <f t="shared" si="67"/>
        <v>0</v>
      </c>
      <c r="BR172" s="12">
        <f t="shared" si="68"/>
        <v>186.95605390673239</v>
      </c>
      <c r="BS172" s="23">
        <f t="shared" si="89"/>
        <v>0</v>
      </c>
      <c r="BU172" s="9">
        <v>5</v>
      </c>
      <c r="BW172" s="9">
        <v>0</v>
      </c>
      <c r="BX172" s="9">
        <v>0</v>
      </c>
      <c r="BY172" s="9">
        <v>0</v>
      </c>
      <c r="BZ172" s="9">
        <v>0</v>
      </c>
      <c r="CA172" s="9">
        <v>0</v>
      </c>
      <c r="CB172" s="9">
        <v>0</v>
      </c>
      <c r="CC172" s="9">
        <v>0</v>
      </c>
      <c r="CD172" s="9">
        <v>0</v>
      </c>
      <c r="CE172" s="9">
        <v>0</v>
      </c>
      <c r="CF172" s="9">
        <v>0</v>
      </c>
      <c r="CG172" s="9">
        <v>12</v>
      </c>
      <c r="CH172" s="9">
        <v>44</v>
      </c>
      <c r="CI172" s="9">
        <v>95</v>
      </c>
      <c r="CJ172" s="9">
        <v>49</v>
      </c>
      <c r="CK172" s="12">
        <f t="shared" si="92"/>
        <v>200</v>
      </c>
      <c r="CL172" s="9">
        <f t="shared" si="69"/>
        <v>0</v>
      </c>
      <c r="CM172" s="9">
        <f t="shared" si="70"/>
        <v>200</v>
      </c>
      <c r="CN172" s="9">
        <f t="shared" si="71"/>
        <v>0</v>
      </c>
      <c r="CO172" s="207">
        <f t="shared" si="72"/>
        <v>200</v>
      </c>
      <c r="CQ172" s="9">
        <f t="shared" si="73"/>
        <v>0</v>
      </c>
      <c r="CR172" s="9">
        <f t="shared" si="74"/>
        <v>200</v>
      </c>
    </row>
    <row r="173" spans="1:96" ht="43.5">
      <c r="A173" t="str">
        <f t="shared" si="90"/>
        <v>794</v>
      </c>
      <c r="B173">
        <f t="shared" si="91"/>
        <v>794</v>
      </c>
      <c r="C173" s="61" t="s">
        <v>176</v>
      </c>
      <c r="D173" s="11"/>
      <c r="E173" s="9">
        <f>SUM(0*0.5)</f>
        <v>0</v>
      </c>
      <c r="F173" s="9">
        <v>0</v>
      </c>
      <c r="G173" s="9">
        <v>0</v>
      </c>
      <c r="H173" s="9">
        <v>0</v>
      </c>
      <c r="I173" s="9">
        <v>0</v>
      </c>
      <c r="J173" s="9">
        <v>0</v>
      </c>
      <c r="K173" s="9">
        <v>0</v>
      </c>
      <c r="L173" s="9">
        <v>0</v>
      </c>
      <c r="M173" s="9">
        <v>0</v>
      </c>
      <c r="N173" s="9">
        <v>8.3284883720930196</v>
      </c>
      <c r="O173" s="9">
        <v>13.968023255814</v>
      </c>
      <c r="P173" s="9">
        <v>13.2790697674419</v>
      </c>
      <c r="Q173" s="9">
        <v>16.078488372092998</v>
      </c>
      <c r="R173" s="9">
        <v>0</v>
      </c>
      <c r="S173" s="9">
        <v>0</v>
      </c>
      <c r="T173" s="9">
        <v>0</v>
      </c>
      <c r="U173" s="9">
        <v>0</v>
      </c>
      <c r="V173" s="9">
        <v>0</v>
      </c>
      <c r="W173" s="9">
        <v>0</v>
      </c>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0</v>
      </c>
      <c r="AN173" s="9">
        <v>0</v>
      </c>
      <c r="AO173" s="9">
        <v>0</v>
      </c>
      <c r="AP173" s="9">
        <v>0</v>
      </c>
      <c r="AQ173" s="9">
        <v>0</v>
      </c>
      <c r="AR173" s="9">
        <v>0</v>
      </c>
      <c r="AS173" s="9">
        <v>0</v>
      </c>
      <c r="AT173" s="9">
        <v>0</v>
      </c>
      <c r="AU173" s="9">
        <v>0</v>
      </c>
      <c r="AV173" s="9">
        <v>0</v>
      </c>
      <c r="AW173" s="9">
        <v>0</v>
      </c>
      <c r="AX173" s="9">
        <f t="shared" si="61"/>
        <v>54.236773255814015</v>
      </c>
      <c r="AY173" s="9">
        <f t="shared" si="62"/>
        <v>0</v>
      </c>
      <c r="AZ173" s="9">
        <f t="shared" si="63"/>
        <v>54.236773255814015</v>
      </c>
      <c r="BA173" s="9">
        <f t="shared" si="64"/>
        <v>0</v>
      </c>
      <c r="BB173" s="9">
        <f t="shared" si="65"/>
        <v>54.236773255814015</v>
      </c>
      <c r="BC173" s="20"/>
      <c r="BD173" s="153">
        <v>86.47</v>
      </c>
      <c r="BF173" s="153">
        <v>83.84</v>
      </c>
      <c r="BH173" s="9" t="e">
        <v>#N/A</v>
      </c>
      <c r="BI173" s="9" t="str">
        <f t="shared" si="66"/>
        <v/>
      </c>
      <c r="BJ173" s="9" t="str">
        <f t="shared" si="55"/>
        <v/>
      </c>
      <c r="BK173" s="12">
        <f>IFERROR(BH173*1,SUM(E173:Q173)*$BJ$179)</f>
        <v>6.4083575990694639</v>
      </c>
      <c r="BP173" s="9">
        <v>6</v>
      </c>
      <c r="BQ173" s="9">
        <f t="shared" si="67"/>
        <v>6</v>
      </c>
      <c r="BR173" s="12">
        <f t="shared" si="68"/>
        <v>51.654069767441918</v>
      </c>
      <c r="BS173" s="23">
        <f t="shared" si="89"/>
        <v>6</v>
      </c>
      <c r="BU173" s="9">
        <v>0</v>
      </c>
      <c r="BW173" s="9">
        <v>0</v>
      </c>
      <c r="BX173" s="9">
        <v>0</v>
      </c>
      <c r="BY173" s="9">
        <v>0</v>
      </c>
      <c r="BZ173" s="9">
        <v>0</v>
      </c>
      <c r="CA173" s="9">
        <v>0</v>
      </c>
      <c r="CB173" s="9">
        <v>0</v>
      </c>
      <c r="CC173" s="9">
        <v>0</v>
      </c>
      <c r="CD173" s="9">
        <v>0</v>
      </c>
      <c r="CE173" s="9">
        <v>0</v>
      </c>
      <c r="CF173" s="9">
        <v>0</v>
      </c>
      <c r="CG173" s="9">
        <v>52</v>
      </c>
      <c r="CH173" s="9">
        <v>57</v>
      </c>
      <c r="CI173" s="9">
        <v>45</v>
      </c>
      <c r="CJ173" s="9">
        <v>41</v>
      </c>
      <c r="CK173" s="12">
        <f t="shared" si="92"/>
        <v>195</v>
      </c>
      <c r="CL173" s="9">
        <f t="shared" si="69"/>
        <v>0</v>
      </c>
      <c r="CM173" s="9">
        <f t="shared" si="70"/>
        <v>195</v>
      </c>
      <c r="CN173" s="9">
        <f t="shared" si="71"/>
        <v>0</v>
      </c>
      <c r="CO173" s="207">
        <f t="shared" si="72"/>
        <v>195</v>
      </c>
      <c r="CQ173" s="9">
        <f t="shared" si="73"/>
        <v>0</v>
      </c>
      <c r="CR173" s="9">
        <f t="shared" si="74"/>
        <v>195</v>
      </c>
    </row>
    <row r="174" spans="1:96" ht="29.25">
      <c r="A174" t="str">
        <f t="shared" si="90"/>
        <v>795</v>
      </c>
      <c r="B174">
        <f t="shared" si="91"/>
        <v>795</v>
      </c>
      <c r="C174" s="16" t="s">
        <v>177</v>
      </c>
      <c r="D174" s="11"/>
      <c r="E174" s="9">
        <f>SUM(112.473988439306*0.5)</f>
        <v>56.236994219652999</v>
      </c>
      <c r="F174" s="9">
        <v>114.25</v>
      </c>
      <c r="G174" s="9">
        <v>111.830459770115</v>
      </c>
      <c r="H174" s="9">
        <v>117.741379310345</v>
      </c>
      <c r="I174" s="9">
        <v>109.497126436782</v>
      </c>
      <c r="J174" s="9">
        <v>112.192528735632</v>
      </c>
      <c r="K174" s="9">
        <v>57.048850574712603</v>
      </c>
      <c r="L174" s="9">
        <v>58.1867816091954</v>
      </c>
      <c r="M174" s="9">
        <v>57.3764367816092</v>
      </c>
      <c r="N174" s="9">
        <v>50.163793103448299</v>
      </c>
      <c r="O174" s="9">
        <v>49.3333333333333</v>
      </c>
      <c r="P174" s="9">
        <v>47.068965517241402</v>
      </c>
      <c r="Q174" s="9">
        <v>59.408045977011497</v>
      </c>
      <c r="R174" s="9">
        <v>0</v>
      </c>
      <c r="S174" s="9">
        <v>0</v>
      </c>
      <c r="T174" s="9">
        <v>0</v>
      </c>
      <c r="U174" s="9">
        <v>0</v>
      </c>
      <c r="V174" s="9">
        <v>0</v>
      </c>
      <c r="W174" s="9">
        <v>0</v>
      </c>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0</v>
      </c>
      <c r="AN174" s="9">
        <v>0</v>
      </c>
      <c r="AO174" s="9">
        <v>0</v>
      </c>
      <c r="AP174" s="9">
        <v>0</v>
      </c>
      <c r="AQ174" s="9">
        <v>0</v>
      </c>
      <c r="AR174" s="9">
        <v>0</v>
      </c>
      <c r="AS174" s="9">
        <v>0</v>
      </c>
      <c r="AT174" s="9">
        <v>0</v>
      </c>
      <c r="AU174" s="9">
        <v>0</v>
      </c>
      <c r="AV174" s="9">
        <v>0</v>
      </c>
      <c r="AW174" s="9">
        <v>0</v>
      </c>
      <c r="AX174" s="9">
        <f t="shared" si="61"/>
        <v>1050.3514301375326</v>
      </c>
      <c r="AY174" s="9">
        <f t="shared" si="62"/>
        <v>420.06177496511867</v>
      </c>
      <c r="AZ174" s="9">
        <f t="shared" si="63"/>
        <v>216.2728448275862</v>
      </c>
      <c r="BA174" s="9">
        <f t="shared" si="64"/>
        <v>712.73720599960154</v>
      </c>
      <c r="BB174" s="9">
        <f t="shared" si="65"/>
        <v>337.6142241379311</v>
      </c>
      <c r="BC174" s="20"/>
      <c r="BD174" s="153">
        <v>521.51</v>
      </c>
      <c r="BE174" s="9">
        <v>468</v>
      </c>
      <c r="BF174" s="153">
        <v>505.64</v>
      </c>
      <c r="BH174" s="9">
        <v>61</v>
      </c>
      <c r="BI174" s="9">
        <f t="shared" si="66"/>
        <v>61</v>
      </c>
      <c r="BJ174" s="9">
        <f t="shared" si="55"/>
        <v>1000.3346953690785</v>
      </c>
      <c r="BK174" s="12">
        <f>IFERROR(BH174*1,SUM(E174:Q174)*$BJ$179)</f>
        <v>61</v>
      </c>
      <c r="BP174" s="9">
        <v>32</v>
      </c>
      <c r="BQ174" s="9">
        <f t="shared" si="67"/>
        <v>32</v>
      </c>
      <c r="BR174" s="12">
        <f t="shared" si="68"/>
        <v>1000.3346953690785</v>
      </c>
      <c r="BS174" s="23">
        <f t="shared" si="89"/>
        <v>32</v>
      </c>
      <c r="BU174" s="9">
        <v>0</v>
      </c>
      <c r="BW174" s="9">
        <v>0</v>
      </c>
      <c r="BX174" s="9">
        <v>120</v>
      </c>
      <c r="BY174" s="9">
        <v>120</v>
      </c>
      <c r="BZ174" s="9">
        <v>117</v>
      </c>
      <c r="CA174" s="9">
        <v>120</v>
      </c>
      <c r="CB174" s="9">
        <v>121</v>
      </c>
      <c r="CC174" s="9">
        <v>121</v>
      </c>
      <c r="CD174" s="9">
        <v>119</v>
      </c>
      <c r="CE174" s="9">
        <v>65</v>
      </c>
      <c r="CF174" s="9">
        <v>60</v>
      </c>
      <c r="CG174" s="9">
        <v>60</v>
      </c>
      <c r="CH174" s="9">
        <v>54</v>
      </c>
      <c r="CI174" s="9">
        <v>47</v>
      </c>
      <c r="CJ174" s="9">
        <v>52</v>
      </c>
      <c r="CK174" s="12">
        <f t="shared" si="92"/>
        <v>1116</v>
      </c>
      <c r="CL174" s="9">
        <f t="shared" si="69"/>
        <v>417</v>
      </c>
      <c r="CM174" s="9">
        <f t="shared" si="70"/>
        <v>213</v>
      </c>
      <c r="CN174" s="9">
        <f t="shared" si="71"/>
        <v>778</v>
      </c>
      <c r="CO174" s="207">
        <f t="shared" si="72"/>
        <v>338</v>
      </c>
      <c r="CQ174" s="9">
        <f t="shared" si="73"/>
        <v>838</v>
      </c>
      <c r="CR174" s="9">
        <f t="shared" si="74"/>
        <v>338</v>
      </c>
    </row>
    <row r="175" spans="1:96" ht="29.25">
      <c r="A175" t="str">
        <f t="shared" si="90"/>
        <v>796</v>
      </c>
      <c r="B175">
        <f t="shared" si="91"/>
        <v>796</v>
      </c>
      <c r="C175" s="16" t="s">
        <v>178</v>
      </c>
      <c r="D175" s="11"/>
      <c r="E175" s="9">
        <f>SUM(45.1186072913043*0.5)</f>
        <v>22.55930364565215</v>
      </c>
      <c r="F175" s="9">
        <v>47.345714285714301</v>
      </c>
      <c r="G175" s="9">
        <v>37.528571428571396</v>
      </c>
      <c r="H175" s="9">
        <v>46.351428571428599</v>
      </c>
      <c r="I175" s="9">
        <v>36.365714285714297</v>
      </c>
      <c r="J175" s="9">
        <v>56.1228571428571</v>
      </c>
      <c r="K175" s="9">
        <v>0</v>
      </c>
      <c r="L175" s="9">
        <v>0</v>
      </c>
      <c r="M175" s="9">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9">
        <v>0</v>
      </c>
      <c r="AO175" s="9">
        <v>0</v>
      </c>
      <c r="AP175" s="9">
        <v>0</v>
      </c>
      <c r="AQ175" s="9">
        <v>0</v>
      </c>
      <c r="AR175" s="9">
        <v>0</v>
      </c>
      <c r="AS175" s="9">
        <v>0</v>
      </c>
      <c r="AT175" s="9">
        <v>0</v>
      </c>
      <c r="AU175" s="9">
        <v>0</v>
      </c>
      <c r="AV175" s="9">
        <v>0</v>
      </c>
      <c r="AW175" s="9">
        <v>0</v>
      </c>
      <c r="AX175" s="9">
        <f t="shared" si="61"/>
        <v>258.58726882793474</v>
      </c>
      <c r="AY175" s="9">
        <f t="shared" si="62"/>
        <v>161.47426882793476</v>
      </c>
      <c r="AZ175" s="9">
        <f t="shared" si="63"/>
        <v>0</v>
      </c>
      <c r="BA175" s="9">
        <f t="shared" si="64"/>
        <v>258.58726882793474</v>
      </c>
      <c r="BB175" s="9">
        <f t="shared" si="65"/>
        <v>0</v>
      </c>
      <c r="BC175" s="20"/>
      <c r="BD175" s="153">
        <v>160.97999999999999</v>
      </c>
      <c r="BE175" s="21"/>
      <c r="BF175" s="153">
        <v>156.08000000000001</v>
      </c>
      <c r="BH175" s="9">
        <v>33</v>
      </c>
      <c r="BI175" s="9">
        <f t="shared" si="66"/>
        <v>33</v>
      </c>
      <c r="BJ175" s="9">
        <f t="shared" si="55"/>
        <v>246.27358935993783</v>
      </c>
      <c r="BK175" s="12">
        <f>IFERROR(BH175*1,SUM(E175:Q175)*$BJ$179)</f>
        <v>33</v>
      </c>
      <c r="BP175" s="9">
        <v>8</v>
      </c>
      <c r="BQ175" s="9">
        <f t="shared" si="67"/>
        <v>8</v>
      </c>
      <c r="BR175" s="12">
        <f t="shared" si="68"/>
        <v>246.27358935993783</v>
      </c>
      <c r="BS175" s="23">
        <f t="shared" si="89"/>
        <v>8</v>
      </c>
      <c r="BU175" s="9">
        <v>1</v>
      </c>
      <c r="BW175" s="26">
        <v>0</v>
      </c>
      <c r="BX175" s="26">
        <v>49</v>
      </c>
      <c r="BY175" s="26">
        <v>50</v>
      </c>
      <c r="BZ175" s="26">
        <v>50</v>
      </c>
      <c r="CA175" s="26">
        <v>48</v>
      </c>
      <c r="CB175" s="26">
        <v>60</v>
      </c>
      <c r="CC175" s="26">
        <v>48</v>
      </c>
      <c r="CD175" s="26">
        <v>58</v>
      </c>
      <c r="CE175" s="26">
        <v>0</v>
      </c>
      <c r="CF175" s="26">
        <v>0</v>
      </c>
      <c r="CG175" s="26">
        <v>0</v>
      </c>
      <c r="CH175" s="26">
        <v>0</v>
      </c>
      <c r="CI175" s="26">
        <v>0</v>
      </c>
      <c r="CJ175" s="26">
        <v>0</v>
      </c>
      <c r="CK175" s="12">
        <f t="shared" si="92"/>
        <v>338.5</v>
      </c>
      <c r="CL175" s="9">
        <f t="shared" si="69"/>
        <v>172.5</v>
      </c>
      <c r="CM175" s="9">
        <f t="shared" si="70"/>
        <v>0</v>
      </c>
      <c r="CN175" s="9">
        <f t="shared" si="71"/>
        <v>338.5</v>
      </c>
      <c r="CO175" s="207">
        <f t="shared" si="72"/>
        <v>0</v>
      </c>
      <c r="CQ175" s="9">
        <f t="shared" si="73"/>
        <v>363</v>
      </c>
      <c r="CR175" s="9">
        <f t="shared" si="74"/>
        <v>0</v>
      </c>
    </row>
    <row r="176" spans="1:96" ht="29.25">
      <c r="A176" t="str">
        <f t="shared" si="90"/>
        <v>813</v>
      </c>
      <c r="B176">
        <f t="shared" si="91"/>
        <v>813</v>
      </c>
      <c r="C176" s="16" t="s">
        <v>179</v>
      </c>
      <c r="D176" s="11"/>
      <c r="E176" s="9">
        <f>SUM(20.1911764705882*0.5)</f>
        <v>10.0955882352941</v>
      </c>
      <c r="F176" s="9">
        <v>21.0617647058824</v>
      </c>
      <c r="G176" s="9">
        <v>20.220588235294102</v>
      </c>
      <c r="H176" s="9">
        <v>19.479411764705901</v>
      </c>
      <c r="I176" s="9">
        <v>21.388235294117599</v>
      </c>
      <c r="J176" s="9">
        <v>16.047058823529401</v>
      </c>
      <c r="K176" s="9">
        <v>18.0529411764706</v>
      </c>
      <c r="L176" s="9">
        <v>13.3323529411765</v>
      </c>
      <c r="M176" s="9">
        <v>9.6617647058823497</v>
      </c>
      <c r="N176" s="9">
        <v>0</v>
      </c>
      <c r="O176" s="9">
        <v>0</v>
      </c>
      <c r="P176" s="9">
        <v>0</v>
      </c>
      <c r="Q176" s="9">
        <v>0</v>
      </c>
      <c r="R176" s="9">
        <v>0</v>
      </c>
      <c r="S176" s="9">
        <v>0</v>
      </c>
      <c r="T176" s="9">
        <v>0</v>
      </c>
      <c r="U176" s="9">
        <v>0</v>
      </c>
      <c r="V176" s="9">
        <v>0</v>
      </c>
      <c r="W176" s="9">
        <v>0</v>
      </c>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9">
        <v>0</v>
      </c>
      <c r="AO176" s="9">
        <v>0</v>
      </c>
      <c r="AP176" s="9">
        <v>0</v>
      </c>
      <c r="AQ176" s="9">
        <v>0</v>
      </c>
      <c r="AR176" s="9">
        <v>0</v>
      </c>
      <c r="AS176" s="9">
        <v>0</v>
      </c>
      <c r="AT176" s="9">
        <v>0</v>
      </c>
      <c r="AU176" s="9">
        <v>0</v>
      </c>
      <c r="AV176" s="9">
        <v>0</v>
      </c>
      <c r="AW176" s="9">
        <v>0</v>
      </c>
      <c r="AX176" s="9">
        <f t="shared" si="61"/>
        <v>156.80669117647059</v>
      </c>
      <c r="AY176" s="9">
        <f t="shared" si="62"/>
        <v>74.400220588235328</v>
      </c>
      <c r="AZ176" s="9">
        <f t="shared" si="63"/>
        <v>0</v>
      </c>
      <c r="BA176" s="9">
        <f t="shared" si="64"/>
        <v>132.66286764705879</v>
      </c>
      <c r="BB176" s="9">
        <f t="shared" si="65"/>
        <v>24.143823529411794</v>
      </c>
      <c r="BC176" s="20"/>
      <c r="BD176" s="153">
        <v>78.05</v>
      </c>
      <c r="BE176" s="9">
        <v>47</v>
      </c>
      <c r="BF176" s="153">
        <v>75.67</v>
      </c>
      <c r="BH176" s="9">
        <v>16</v>
      </c>
      <c r="BI176" s="9">
        <f t="shared" si="66"/>
        <v>16</v>
      </c>
      <c r="BJ176" s="9">
        <f t="shared" si="55"/>
        <v>149.33970588235294</v>
      </c>
      <c r="BK176" s="12">
        <f>IFERROR(BH176*1,SUM(E176:Q176)*$BJ$179)</f>
        <v>16</v>
      </c>
      <c r="BP176" s="9" t="s">
        <v>240</v>
      </c>
      <c r="BQ176" s="9" t="str">
        <f t="shared" si="67"/>
        <v/>
      </c>
      <c r="BR176" s="12" t="str">
        <f t="shared" si="68"/>
        <v/>
      </c>
      <c r="BS176" s="23">
        <f t="shared" si="89"/>
        <v>13.413081274914617</v>
      </c>
      <c r="BU176" s="9">
        <v>8</v>
      </c>
      <c r="BW176" s="9">
        <v>0</v>
      </c>
      <c r="BX176" s="9">
        <v>22</v>
      </c>
      <c r="BY176" s="9">
        <v>18</v>
      </c>
      <c r="BZ176" s="9">
        <v>22</v>
      </c>
      <c r="CA176" s="9">
        <v>22</v>
      </c>
      <c r="CB176" s="9">
        <v>19</v>
      </c>
      <c r="CC176" s="9">
        <v>22</v>
      </c>
      <c r="CD176" s="9">
        <v>17</v>
      </c>
      <c r="CE176" s="9">
        <v>18</v>
      </c>
      <c r="CF176" s="9">
        <v>16</v>
      </c>
      <c r="CG176" s="9">
        <v>0</v>
      </c>
      <c r="CH176" s="9">
        <v>0</v>
      </c>
      <c r="CI176" s="9">
        <v>0</v>
      </c>
      <c r="CJ176" s="9">
        <v>0</v>
      </c>
      <c r="CK176" s="12">
        <f t="shared" si="92"/>
        <v>165</v>
      </c>
      <c r="CL176" s="9">
        <f t="shared" si="69"/>
        <v>73</v>
      </c>
      <c r="CM176" s="9">
        <f t="shared" si="70"/>
        <v>0</v>
      </c>
      <c r="CN176" s="9">
        <f t="shared" si="71"/>
        <v>131</v>
      </c>
      <c r="CO176" s="207">
        <f t="shared" si="72"/>
        <v>34</v>
      </c>
      <c r="CQ176" s="9">
        <f t="shared" si="73"/>
        <v>142</v>
      </c>
      <c r="CR176" s="9">
        <f t="shared" si="74"/>
        <v>34</v>
      </c>
    </row>
    <row r="177" spans="1:91">
      <c r="BK177" s="12"/>
    </row>
    <row r="178" spans="1:91">
      <c r="A178" s="9" t="s">
        <v>235</v>
      </c>
      <c r="E178" s="9">
        <f>SUM(E4:E177)</f>
        <v>9848.1248190202368</v>
      </c>
      <c r="F178" s="9">
        <f>SUM(F4:F177)</f>
        <v>20942.775373744833</v>
      </c>
      <c r="G178" s="9">
        <f t="shared" ref="G178:BB178" si="94">SUM(G4:G177)</f>
        <v>21182.946124297679</v>
      </c>
      <c r="H178" s="9">
        <f t="shared" si="94"/>
        <v>21917.900325819006</v>
      </c>
      <c r="I178" s="9">
        <f t="shared" si="94"/>
        <v>22743.874418273113</v>
      </c>
      <c r="J178" s="9">
        <f t="shared" si="94"/>
        <v>22835.873244874765</v>
      </c>
      <c r="K178" s="9">
        <f t="shared" si="94"/>
        <v>22452.889581199448</v>
      </c>
      <c r="L178" s="9">
        <f t="shared" si="94"/>
        <v>22476.821556655923</v>
      </c>
      <c r="M178" s="9">
        <f t="shared" si="94"/>
        <v>21694.043599000965</v>
      </c>
      <c r="N178" s="9">
        <f t="shared" si="94"/>
        <v>21538.543283930019</v>
      </c>
      <c r="O178" s="9">
        <f t="shared" si="94"/>
        <v>20319.378220064777</v>
      </c>
      <c r="P178" s="9">
        <f t="shared" si="94"/>
        <v>19051.737690472397</v>
      </c>
      <c r="Q178" s="9">
        <f t="shared" si="94"/>
        <v>17369.38579764685</v>
      </c>
      <c r="R178" s="9">
        <f t="shared" si="94"/>
        <v>71.971178380614688</v>
      </c>
      <c r="S178" s="9">
        <f t="shared" si="94"/>
        <v>216.98918950598136</v>
      </c>
      <c r="T178" s="9">
        <f t="shared" si="94"/>
        <v>265.2275158409609</v>
      </c>
      <c r="U178" s="9">
        <f t="shared" si="94"/>
        <v>510.20670760528458</v>
      </c>
      <c r="V178" s="9">
        <f t="shared" si="94"/>
        <v>886.15550210629397</v>
      </c>
      <c r="W178" s="9">
        <f t="shared" si="94"/>
        <v>1283.3129135011791</v>
      </c>
      <c r="X178" s="9">
        <f t="shared" si="94"/>
        <v>1675.8506283949268</v>
      </c>
      <c r="Y178" s="9">
        <f t="shared" si="94"/>
        <v>1.2749999999999999</v>
      </c>
      <c r="Z178" s="9">
        <f t="shared" si="94"/>
        <v>1.3555555555555561</v>
      </c>
      <c r="AA178" s="9">
        <f t="shared" si="94"/>
        <v>5.3334503728202387</v>
      </c>
      <c r="AB178" s="9">
        <f t="shared" si="94"/>
        <v>8.5248684071432912</v>
      </c>
      <c r="AC178" s="9">
        <f t="shared" si="94"/>
        <v>13.247258100803167</v>
      </c>
      <c r="AD178" s="9">
        <f t="shared" si="94"/>
        <v>31.154065984480603</v>
      </c>
      <c r="AE178" s="9">
        <f t="shared" si="94"/>
        <v>32.674401532038374</v>
      </c>
      <c r="AF178" s="9">
        <f t="shared" si="94"/>
        <v>34.947435033627997</v>
      </c>
      <c r="AG178" s="9">
        <f t="shared" si="94"/>
        <v>25.061673067499928</v>
      </c>
      <c r="AH178" s="9">
        <f t="shared" si="94"/>
        <v>1</v>
      </c>
      <c r="AI178" s="9">
        <f t="shared" si="94"/>
        <v>4.64285714285715E-2</v>
      </c>
      <c r="AJ178" s="9">
        <f t="shared" si="94"/>
        <v>2.1442115593643578</v>
      </c>
      <c r="AK178" s="9">
        <f t="shared" si="94"/>
        <v>6.3315024855469204</v>
      </c>
      <c r="AL178" s="9">
        <f t="shared" si="94"/>
        <v>11.988607535796783</v>
      </c>
      <c r="AM178" s="9">
        <f t="shared" si="94"/>
        <v>20.040687024508941</v>
      </c>
      <c r="AN178" s="9">
        <f t="shared" si="94"/>
        <v>33.388170788444938</v>
      </c>
      <c r="AO178" s="9">
        <f t="shared" si="94"/>
        <v>32.850443748990202</v>
      </c>
      <c r="AP178" s="9">
        <f t="shared" si="94"/>
        <v>15.321261170435928</v>
      </c>
      <c r="AQ178" s="9">
        <f t="shared" si="94"/>
        <v>158.98215294117654</v>
      </c>
      <c r="AR178" s="9">
        <f t="shared" si="94"/>
        <v>325.69923137254904</v>
      </c>
      <c r="AS178" s="9">
        <f t="shared" si="94"/>
        <v>425.67212549019621</v>
      </c>
      <c r="AT178" s="9">
        <f t="shared" si="94"/>
        <v>538.2362823529412</v>
      </c>
      <c r="AU178" s="9">
        <f t="shared" si="94"/>
        <v>695.99160392156864</v>
      </c>
      <c r="AV178" s="9">
        <f t="shared" si="94"/>
        <v>673.83627450980373</v>
      </c>
      <c r="AW178" s="9">
        <f t="shared" si="94"/>
        <v>486.99459215686272</v>
      </c>
      <c r="AX178" s="9">
        <f>SUM(AX4:AX177)</f>
        <v>286509.41020171955</v>
      </c>
      <c r="AY178" s="9">
        <f t="shared" si="94"/>
        <v>77586.33397502586</v>
      </c>
      <c r="AZ178" s="9">
        <f t="shared" si="94"/>
        <v>89517.821016763599</v>
      </c>
      <c r="BA178" s="9">
        <f t="shared" si="94"/>
        <v>149274.81645784056</v>
      </c>
      <c r="BB178" s="9">
        <f t="shared" si="94"/>
        <v>137234.59374387914</v>
      </c>
      <c r="BH178" s="9" t="e">
        <f>SUM(BH4:BH176)</f>
        <v>#N/A</v>
      </c>
      <c r="BI178" s="9">
        <f>SUM(BI4:BI176)</f>
        <v>32727</v>
      </c>
      <c r="BJ178" s="9">
        <f>SUM(BJ4:BJ176)</f>
        <v>263793.44709548372</v>
      </c>
      <c r="BK178" s="9">
        <f>SUM(BK4:BK176)</f>
        <v>32945.749014077039</v>
      </c>
      <c r="BQ178" s="9">
        <f>SUM(BQ4:BQ176)</f>
        <v>22641</v>
      </c>
      <c r="BR178" s="9">
        <f>SUM(BR4:BR176)</f>
        <v>252082.29276936789</v>
      </c>
      <c r="BU178" s="9">
        <f>SUM(BU4:BU176)</f>
        <v>16951</v>
      </c>
      <c r="BW178" s="9">
        <f>SUM(BW4:BW177)</f>
        <v>3468</v>
      </c>
      <c r="BX178" s="9">
        <f t="shared" ref="BX178:CM178" si="95">SUM(BX4:BX177)</f>
        <v>21496</v>
      </c>
      <c r="BY178" s="9">
        <f t="shared" si="95"/>
        <v>22364</v>
      </c>
      <c r="BZ178" s="9">
        <f t="shared" si="95"/>
        <v>22651</v>
      </c>
      <c r="CA178" s="9">
        <f t="shared" si="95"/>
        <v>23057</v>
      </c>
      <c r="CB178" s="9">
        <f t="shared" si="95"/>
        <v>23686</v>
      </c>
      <c r="CC178" s="9">
        <f t="shared" si="95"/>
        <v>24614</v>
      </c>
      <c r="CD178" s="9">
        <f t="shared" si="95"/>
        <v>24836</v>
      </c>
      <c r="CE178" s="9">
        <f t="shared" si="95"/>
        <v>24468</v>
      </c>
      <c r="CF178" s="9">
        <f t="shared" si="95"/>
        <v>24536</v>
      </c>
      <c r="CG178" s="9">
        <f t="shared" si="95"/>
        <v>24226</v>
      </c>
      <c r="CH178" s="9">
        <f t="shared" si="95"/>
        <v>23595</v>
      </c>
      <c r="CI178" s="9">
        <f t="shared" si="95"/>
        <v>22584</v>
      </c>
      <c r="CJ178" s="9">
        <f t="shared" si="95"/>
        <v>21716</v>
      </c>
      <c r="CK178" s="9">
        <f t="shared" si="95"/>
        <v>293081</v>
      </c>
      <c r="CL178" s="9">
        <f t="shared" si="95"/>
        <v>78820</v>
      </c>
      <c r="CM178" s="9">
        <f t="shared" si="95"/>
        <v>92121</v>
      </c>
    </row>
    <row r="179" spans="1:91">
      <c r="BJ179" s="9">
        <f>BI178/BJ178</f>
        <v>0.12406297563621436</v>
      </c>
      <c r="BR179" s="9">
        <f>BQ178/BR178</f>
        <v>8.9815907937311687E-2</v>
      </c>
    </row>
    <row r="180" spans="1:91">
      <c r="CK180" s="21">
        <f>SUM(CK4:CK46,CK48:CK91,CK93:CK99,CK101:CK110,CK112:CK120,CK122:CK134,CK137:CK144,CK146:CK149,CK151:CK152,CK154,CK158:CK161,CK168,CK170:CK171,CK174:CK176)</f>
        <v>287507.5</v>
      </c>
    </row>
    <row r="181" spans="1:91" ht="45">
      <c r="C181" s="205" t="s">
        <v>615</v>
      </c>
      <c r="D181" s="206">
        <f>SUM('Front page'!E11)</f>
        <v>100</v>
      </c>
    </row>
    <row r="183" spans="1:91">
      <c r="BD183" s="9" t="s">
        <v>639</v>
      </c>
    </row>
    <row r="184" spans="1:91">
      <c r="BD184" s="9" t="s">
        <v>640</v>
      </c>
    </row>
  </sheetData>
  <sortState ref="A4:AU176">
    <sortCondition ref="A4:A176"/>
  </sortState>
  <mergeCells count="4">
    <mergeCell ref="BH2:BN2"/>
    <mergeCell ref="BP2:BS2"/>
    <mergeCell ref="E2:AW2"/>
    <mergeCell ref="AX2:BB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78"/>
  <sheetViews>
    <sheetView zoomScale="160" zoomScaleNormal="16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5"/>
  <cols>
    <col min="1" max="1" width="9.140625" bestFit="1" customWidth="1"/>
    <col min="2" max="2" width="9.42578125" bestFit="1" customWidth="1"/>
    <col min="3" max="3" width="47.7109375" customWidth="1"/>
    <col min="4" max="4" width="13.42578125" bestFit="1" customWidth="1"/>
    <col min="5" max="5" width="11.42578125" bestFit="1" customWidth="1"/>
    <col min="6" max="6" width="12.140625" bestFit="1" customWidth="1"/>
    <col min="7" max="7" width="14.42578125" bestFit="1" customWidth="1"/>
    <col min="8" max="8" width="15.42578125" bestFit="1" customWidth="1"/>
    <col min="9" max="9" width="15.42578125" customWidth="1"/>
    <col min="10" max="10" width="13.140625" style="39" hidden="1" customWidth="1"/>
    <col min="11" max="11" width="12.85546875" hidden="1" customWidth="1"/>
    <col min="12" max="12" width="13.140625" style="40" bestFit="1" customWidth="1"/>
    <col min="13" max="13" width="12.85546875" bestFit="1" customWidth="1"/>
    <col min="14" max="16" width="12.85546875" hidden="1" customWidth="1"/>
    <col min="17" max="22" width="12.85546875" customWidth="1"/>
    <col min="25" max="25" width="10.85546875" bestFit="1" customWidth="1"/>
    <col min="27" max="27" width="16.140625" bestFit="1" customWidth="1"/>
    <col min="28" max="28" width="18.42578125" bestFit="1" customWidth="1"/>
  </cols>
  <sheetData>
    <row r="1" spans="1:32" ht="60">
      <c r="A1" t="str">
        <f>'Student Enrollment Data'!A3</f>
        <v>District #1</v>
      </c>
      <c r="B1" t="str">
        <f>'Student Enrollment Data'!B3</f>
        <v>District # 2</v>
      </c>
      <c r="C1" t="str">
        <f>'Student Enrollment Data'!C3</f>
        <v>District Name 1</v>
      </c>
      <c r="D1" t="s">
        <v>291</v>
      </c>
      <c r="E1" t="s">
        <v>259</v>
      </c>
      <c r="F1" t="s">
        <v>260</v>
      </c>
      <c r="G1" t="s">
        <v>261</v>
      </c>
      <c r="H1" t="s">
        <v>262</v>
      </c>
      <c r="I1" t="s">
        <v>263</v>
      </c>
      <c r="J1" s="39" t="s">
        <v>268</v>
      </c>
      <c r="K1" t="s">
        <v>269</v>
      </c>
      <c r="L1" s="39" t="s">
        <v>272</v>
      </c>
      <c r="M1" t="s">
        <v>273</v>
      </c>
      <c r="N1" s="41" t="s">
        <v>277</v>
      </c>
      <c r="O1" s="41" t="s">
        <v>278</v>
      </c>
      <c r="P1" s="41" t="s">
        <v>279</v>
      </c>
      <c r="Q1" s="41" t="s">
        <v>280</v>
      </c>
      <c r="R1" s="41" t="s">
        <v>281</v>
      </c>
      <c r="S1" s="41" t="s">
        <v>282</v>
      </c>
      <c r="T1" s="41" t="s">
        <v>289</v>
      </c>
      <c r="U1" s="41" t="s">
        <v>290</v>
      </c>
      <c r="V1" s="41" t="s">
        <v>292</v>
      </c>
    </row>
    <row r="2" spans="1:32">
      <c r="A2" t="str">
        <f>'Student Enrollment Data'!A4</f>
        <v>001</v>
      </c>
      <c r="B2">
        <f>'Student Enrollment Data'!B4</f>
        <v>1</v>
      </c>
      <c r="C2" t="str">
        <f>'Student Enrollment Data'!C4</f>
        <v>Boise Independent School District # 001</v>
      </c>
      <c r="D2">
        <v>0</v>
      </c>
      <c r="E2" s="37">
        <f>IF(settings!$G$4=0,'Student Enrollment Data'!BA4,'Student Enrollment Data'!CN4)</f>
        <v>12099.5</v>
      </c>
      <c r="F2" s="37">
        <f>IF(settings!$G$4=0,'Student Enrollment Data'!BB4,'Student Enrollment Data'!CO4)</f>
        <v>12355</v>
      </c>
      <c r="G2" s="37">
        <f>IF(E2&lt;$X$5,1,0)</f>
        <v>0</v>
      </c>
      <c r="H2" s="37">
        <f>IF(F2&lt;$X$6,1,0)</f>
        <v>0</v>
      </c>
      <c r="I2" s="37">
        <f>IF(SUM(G2:H2)=2,1,0)</f>
        <v>0</v>
      </c>
      <c r="J2" s="39" t="str">
        <f>IF(E2&lt;=$AA$5,1+$Y$5,IF(G2=1,1+($Y$5-(E2*($Y$5/$X$5))),""))</f>
        <v/>
      </c>
      <c r="K2" s="39" t="str">
        <f>IF(F2&lt;=$AA$6,1+$Y$6,IF(H2=1,1+($Y$6-(F2*($Y$6/$X$6))),""))</f>
        <v/>
      </c>
      <c r="L2" s="39">
        <f>IF(E2&lt;=$AA$5,1+$Y$10,IF(AND(E2&gt;=$Z$10,E2&lt;$X$10),1-$AA$10+($AA$11-(E2*$AB$10)),IF(AND(E2&lt;$Z$11,E2&lt;$X$11),1+$AA$10+($AA$11-(E2*$AB$11)),0)))</f>
        <v>0</v>
      </c>
      <c r="M2" s="39">
        <f>IF(F2&lt;+$AA$6,1+$Y$12,IF(AND(F2&gt;=$Z$12,F2&lt;$X$12),1-$AA$12+($AA$13-(F2*$AB$12)),IF(AND(F2&lt;$Z$13,F2&lt;$X$13),1+$AA$12+($AA$13-(F2*$AB$13)),0)))</f>
        <v>0</v>
      </c>
      <c r="N2" s="39">
        <f>IF(G2=1,J2*E2,E2)</f>
        <v>12099.5</v>
      </c>
      <c r="O2" s="39">
        <f>IF(H2=1,K2*F2,F2)</f>
        <v>12355</v>
      </c>
      <c r="P2" s="39">
        <f>SUM(N2:O2)</f>
        <v>24454.5</v>
      </c>
      <c r="Q2" s="39">
        <f>IF(G2=1,E2*L2,E2)</f>
        <v>12099.5</v>
      </c>
      <c r="R2" s="39">
        <f>IF(H2=1,F2*M2,F2)</f>
        <v>12355</v>
      </c>
      <c r="S2" s="40">
        <f>SUM(Q2:R2)</f>
        <v>24454.5</v>
      </c>
      <c r="T2">
        <f>IF(D2=0,P2,E2+F2)</f>
        <v>24454.5</v>
      </c>
      <c r="U2">
        <f>IF(D2=0,S2,E2+F2)</f>
        <v>24454.5</v>
      </c>
      <c r="V2">
        <f>IF(AND(settings!$D$4=0,settings!$D$7=0),'Small Dist Weight'!P2,IF(AND(settings!$D$4=0,settings!$D$7=1),T2,IF(AND(settings!$D$4=1,settings!$D$7=0),S2,U2)))</f>
        <v>24454.5</v>
      </c>
    </row>
    <row r="3" spans="1:32">
      <c r="A3" t="str">
        <f>'Student Enrollment Data'!A5</f>
        <v>002</v>
      </c>
      <c r="B3">
        <f>'Student Enrollment Data'!B5</f>
        <v>2</v>
      </c>
      <c r="C3" t="str">
        <f>'Student Enrollment Data'!C5</f>
        <v>West Ada Joint School District # 002</v>
      </c>
      <c r="D3">
        <v>0</v>
      </c>
      <c r="E3" s="37">
        <f>IF(settings!$G$4=0,'Student Enrollment Data'!BA5,'Student Enrollment Data'!CN5)</f>
        <v>19276</v>
      </c>
      <c r="F3" s="37">
        <f>IF(settings!$G$4=0,'Student Enrollment Data'!BB5,'Student Enrollment Data'!CO5)</f>
        <v>18539</v>
      </c>
      <c r="G3" s="37">
        <f t="shared" ref="G3:G66" si="0">IF(E3&lt;$X$5,1,0)</f>
        <v>0</v>
      </c>
      <c r="H3" s="37">
        <f t="shared" ref="H3:H66" si="1">IF(F3&lt;$X$6,1,0)</f>
        <v>0</v>
      </c>
      <c r="I3" s="37">
        <f t="shared" ref="I3:I66" si="2">IF(SUM(G3:H3)=2,1,0)</f>
        <v>0</v>
      </c>
      <c r="J3" s="39" t="str">
        <f t="shared" ref="J3:J66" si="3">IF(E3&lt;=$AA$5,1+$Y$5,IF(G3=1,1+($Y$5-(E3*($Y$5/$X$5))),""))</f>
        <v/>
      </c>
      <c r="K3" s="39" t="str">
        <f t="shared" ref="K3:K66" si="4">IF(F3&lt;=$AA$6,1+$Y$6,IF(H3=1,1+($Y$6-(F3*($Y$6/$X$6))),""))</f>
        <v/>
      </c>
      <c r="L3" s="39">
        <f t="shared" ref="L3:L66" si="5">IF(E3&lt;=$AA$5,1+$Y$10,IF(AND(E3&gt;=$Z$10,E3&lt;$X$10),1-$AA$10+($AA$11-(E3*$AB$10)),IF(AND(E3&lt;$Z$11,E3&lt;$X$11),1+$AA$10+($AA$11-(E3*$AB$11)),0)))</f>
        <v>0</v>
      </c>
      <c r="M3" s="39">
        <f t="shared" ref="M3:M66" si="6">IF(F3&lt;+$AA$6,1+$Y$12,IF(AND(F3&gt;=$Z$12,F3&lt;$X$12),1-$AA$12+($AA$13-(F3*$AB$12)),IF(AND(F3&lt;$Z$13,F3&lt;$X$13),1+$AA$12+($AA$13-(F3*$AB$13)),0)))</f>
        <v>0</v>
      </c>
      <c r="N3" s="39">
        <f t="shared" ref="N3:N66" si="7">IF(G3=1,J3*E3,E3)</f>
        <v>19276</v>
      </c>
      <c r="O3" s="39">
        <f t="shared" ref="O3:O66" si="8">IF(H3=1,K3*F3,F3)</f>
        <v>18539</v>
      </c>
      <c r="P3" s="39">
        <f t="shared" ref="P3:P66" si="9">SUM(N3:O3)</f>
        <v>37815</v>
      </c>
      <c r="Q3" s="39">
        <f t="shared" ref="Q3:Q66" si="10">IF(G3=1,E3*L3,E3)</f>
        <v>19276</v>
      </c>
      <c r="R3" s="39">
        <f t="shared" ref="R3:R66" si="11">IF(H3=1,F3*M3,F3)</f>
        <v>18539</v>
      </c>
      <c r="S3" s="40">
        <f t="shared" ref="S3:S66" si="12">SUM(Q3:R3)</f>
        <v>37815</v>
      </c>
      <c r="T3">
        <f t="shared" ref="T3:T66" si="13">IF(D3=0,P3,E3+F3)</f>
        <v>37815</v>
      </c>
      <c r="U3">
        <f t="shared" ref="U3:U66" si="14">IF(D3=0,S3,E3+F3)</f>
        <v>37815</v>
      </c>
      <c r="V3">
        <f>IF(AND(settings!$D$4=0,settings!$D$7=0),'Small Dist Weight'!P3,IF(AND(settings!$D$4=0,settings!$D$7=1),T3,IF(AND(settings!$D$4=1,settings!$D$7=0),S3,U3)))</f>
        <v>37815</v>
      </c>
      <c r="Y3" t="s">
        <v>267</v>
      </c>
      <c r="AA3" s="335" t="s">
        <v>276</v>
      </c>
    </row>
    <row r="4" spans="1:32">
      <c r="A4" t="str">
        <f>'Student Enrollment Data'!A6</f>
        <v>003</v>
      </c>
      <c r="B4">
        <f>'Student Enrollment Data'!B6</f>
        <v>3</v>
      </c>
      <c r="C4" t="str">
        <f>'Student Enrollment Data'!C6</f>
        <v>Kuna Joint School District # 003</v>
      </c>
      <c r="D4">
        <v>0</v>
      </c>
      <c r="E4" s="37">
        <f>IF(settings!$G$4=0,'Student Enrollment Data'!BA6,'Student Enrollment Data'!CN6)</f>
        <v>2546</v>
      </c>
      <c r="F4" s="37">
        <f>IF(settings!$G$4=0,'Student Enrollment Data'!BB6,'Student Enrollment Data'!CO6)</f>
        <v>2588</v>
      </c>
      <c r="G4" s="37">
        <f t="shared" si="0"/>
        <v>0</v>
      </c>
      <c r="H4" s="37">
        <f t="shared" si="1"/>
        <v>0</v>
      </c>
      <c r="I4" s="37">
        <f t="shared" si="2"/>
        <v>0</v>
      </c>
      <c r="J4" s="39" t="str">
        <f t="shared" si="3"/>
        <v/>
      </c>
      <c r="K4" s="39" t="str">
        <f t="shared" si="4"/>
        <v/>
      </c>
      <c r="L4" s="39">
        <f t="shared" si="5"/>
        <v>0</v>
      </c>
      <c r="M4" s="39">
        <f t="shared" si="6"/>
        <v>0</v>
      </c>
      <c r="N4" s="39">
        <f t="shared" si="7"/>
        <v>2546</v>
      </c>
      <c r="O4" s="39">
        <f t="shared" si="8"/>
        <v>2588</v>
      </c>
      <c r="P4" s="39">
        <f t="shared" si="9"/>
        <v>5134</v>
      </c>
      <c r="Q4" s="39">
        <f t="shared" si="10"/>
        <v>2546</v>
      </c>
      <c r="R4" s="39">
        <f t="shared" si="11"/>
        <v>2588</v>
      </c>
      <c r="S4" s="40">
        <f t="shared" si="12"/>
        <v>5134</v>
      </c>
      <c r="T4">
        <f t="shared" si="13"/>
        <v>5134</v>
      </c>
      <c r="U4">
        <f t="shared" si="14"/>
        <v>5134</v>
      </c>
      <c r="V4">
        <f>IF(AND(settings!$D$4=0,settings!$D$7=0),'Small Dist Weight'!P4,IF(AND(settings!$D$4=0,settings!$D$7=1),T4,IF(AND(settings!$D$4=1,settings!$D$7=0),S4,U4)))</f>
        <v>5134</v>
      </c>
      <c r="Y4" t="s">
        <v>266</v>
      </c>
      <c r="AA4" s="335"/>
    </row>
    <row r="5" spans="1:32">
      <c r="A5" t="str">
        <f>'Student Enrollment Data'!A7</f>
        <v>011</v>
      </c>
      <c r="B5">
        <f>'Student Enrollment Data'!B7</f>
        <v>11</v>
      </c>
      <c r="C5" t="str">
        <f>'Student Enrollment Data'!C7</f>
        <v>Meadows Valley School District # 011</v>
      </c>
      <c r="D5">
        <v>0</v>
      </c>
      <c r="E5" s="37">
        <f>IF(settings!$G$4=0,'Student Enrollment Data'!BA7,'Student Enrollment Data'!CN7)</f>
        <v>77</v>
      </c>
      <c r="F5" s="37">
        <f>IF(settings!$G$4=0,'Student Enrollment Data'!BB7,'Student Enrollment Data'!CO7)</f>
        <v>100</v>
      </c>
      <c r="G5" s="37">
        <f t="shared" si="0"/>
        <v>1</v>
      </c>
      <c r="H5" s="37">
        <f t="shared" si="1"/>
        <v>1</v>
      </c>
      <c r="I5" s="37">
        <f t="shared" si="2"/>
        <v>1</v>
      </c>
      <c r="J5" s="39">
        <f t="shared" si="3"/>
        <v>1.8050000000000002</v>
      </c>
      <c r="K5" s="39">
        <f t="shared" si="4"/>
        <v>1.9293103448275861</v>
      </c>
      <c r="L5" s="39">
        <f t="shared" si="5"/>
        <v>1.6825000000000001</v>
      </c>
      <c r="M5" s="39">
        <f t="shared" si="6"/>
        <v>1.8689655172413793</v>
      </c>
      <c r="N5" s="39">
        <f t="shared" si="7"/>
        <v>138.98500000000001</v>
      </c>
      <c r="O5" s="39">
        <f t="shared" si="8"/>
        <v>192.93103448275861</v>
      </c>
      <c r="P5" s="39">
        <f t="shared" si="9"/>
        <v>331.91603448275862</v>
      </c>
      <c r="Q5" s="39">
        <f t="shared" si="10"/>
        <v>129.55250000000001</v>
      </c>
      <c r="R5" s="39">
        <f t="shared" si="11"/>
        <v>186.89655172413794</v>
      </c>
      <c r="S5" s="40">
        <f t="shared" si="12"/>
        <v>316.44905172413792</v>
      </c>
      <c r="T5">
        <f>IF(D5=0,P5,E5+F5)</f>
        <v>331.91603448275862</v>
      </c>
      <c r="U5">
        <f t="shared" si="14"/>
        <v>316.44905172413792</v>
      </c>
      <c r="V5">
        <f>IF(AND(settings!$D$4=0,settings!$D$7=0),'Small Dist Weight'!P5,IF(AND(settings!$D$4=0,settings!$D$7=1),T5,IF(AND(settings!$D$4=1,settings!$D$7=0),S5,U5)))</f>
        <v>316.44905172413792</v>
      </c>
      <c r="W5" s="30" t="s">
        <v>264</v>
      </c>
      <c r="X5" s="38">
        <f>'Front page'!E7</f>
        <v>330</v>
      </c>
      <c r="Y5">
        <v>1.05</v>
      </c>
      <c r="AA5" s="38">
        <v>30</v>
      </c>
      <c r="AE5">
        <v>1</v>
      </c>
      <c r="AF5">
        <f>AD9*$AB$11</f>
        <v>19.090909090909093</v>
      </c>
    </row>
    <row r="6" spans="1:32">
      <c r="A6" t="str">
        <f>'Student Enrollment Data'!A8</f>
        <v>013</v>
      </c>
      <c r="B6">
        <f>'Student Enrollment Data'!B8</f>
        <v>13</v>
      </c>
      <c r="C6" t="str">
        <f>'Student Enrollment Data'!C8</f>
        <v>Council School District # 013</v>
      </c>
      <c r="D6">
        <v>0</v>
      </c>
      <c r="E6" s="37">
        <f>IF(settings!$G$4=0,'Student Enrollment Data'!BA8,'Student Enrollment Data'!CN8)</f>
        <v>139</v>
      </c>
      <c r="F6" s="37">
        <f>MAX(100,settings!$G$4=0,'Student Enrollment Data'!BB8,'Student Enrollment Data'!CO8)</f>
        <v>133</v>
      </c>
      <c r="G6" s="37">
        <f t="shared" si="0"/>
        <v>1</v>
      </c>
      <c r="H6" s="37">
        <f t="shared" si="1"/>
        <v>1</v>
      </c>
      <c r="I6" s="37">
        <f t="shared" si="2"/>
        <v>1</v>
      </c>
      <c r="J6" s="39">
        <f t="shared" si="3"/>
        <v>1.6077272727272729</v>
      </c>
      <c r="K6" s="39">
        <f t="shared" si="4"/>
        <v>1.8894827586206897</v>
      </c>
      <c r="L6" s="39">
        <f t="shared" si="5"/>
        <v>1.3865909090909092</v>
      </c>
      <c r="M6" s="39">
        <f t="shared" si="6"/>
        <v>1.8092241379310345</v>
      </c>
      <c r="N6" s="39">
        <f t="shared" si="7"/>
        <v>223.47409090909093</v>
      </c>
      <c r="O6" s="39">
        <f t="shared" si="8"/>
        <v>251.30120689655172</v>
      </c>
      <c r="P6" s="39">
        <f t="shared" si="9"/>
        <v>474.77529780564265</v>
      </c>
      <c r="Q6" s="39">
        <f t="shared" si="10"/>
        <v>192.73613636363638</v>
      </c>
      <c r="R6" s="39">
        <f t="shared" si="11"/>
        <v>240.62681034482759</v>
      </c>
      <c r="S6" s="40">
        <f t="shared" si="12"/>
        <v>433.36294670846394</v>
      </c>
      <c r="T6">
        <f t="shared" si="13"/>
        <v>474.77529780564265</v>
      </c>
      <c r="U6">
        <f t="shared" si="14"/>
        <v>433.36294670846394</v>
      </c>
      <c r="V6">
        <f>IF(AND(settings!$D$4=0,settings!$D$7=0),'Small Dist Weight'!P6,IF(AND(settings!$D$4=0,settings!$D$7=1),T6,IF(AND(settings!$D$4=1,settings!$D$7=0),S6,U6)))</f>
        <v>433.36294670846394</v>
      </c>
      <c r="W6" s="30" t="s">
        <v>265</v>
      </c>
      <c r="X6" s="38">
        <f>'Front page'!E8</f>
        <v>870</v>
      </c>
      <c r="Y6">
        <v>1.05</v>
      </c>
      <c r="AA6" s="38">
        <v>30</v>
      </c>
      <c r="AE6">
        <v>2</v>
      </c>
      <c r="AF6">
        <f>AD9*AB$11</f>
        <v>19.090909090909093</v>
      </c>
    </row>
    <row r="7" spans="1:32">
      <c r="A7" t="str">
        <f>'Student Enrollment Data'!A9</f>
        <v>021</v>
      </c>
      <c r="B7">
        <f>'Student Enrollment Data'!B9</f>
        <v>21</v>
      </c>
      <c r="C7" t="str">
        <f>'Student Enrollment Data'!C9</f>
        <v>Marsh Valley Joint School District # 021</v>
      </c>
      <c r="D7">
        <v>0</v>
      </c>
      <c r="E7" s="37">
        <f>IF(settings!$G$4=0,'Student Enrollment Data'!BA9,'Student Enrollment Data'!CN9)</f>
        <v>601</v>
      </c>
      <c r="F7" s="37">
        <f>IF(settings!$G$4=0,'Student Enrollment Data'!BB9,'Student Enrollment Data'!CO9)</f>
        <v>628</v>
      </c>
      <c r="G7" s="37">
        <f t="shared" si="0"/>
        <v>0</v>
      </c>
      <c r="H7" s="37">
        <f t="shared" si="1"/>
        <v>1</v>
      </c>
      <c r="I7" s="37">
        <f t="shared" si="2"/>
        <v>0</v>
      </c>
      <c r="J7" s="39" t="str">
        <f t="shared" si="3"/>
        <v/>
      </c>
      <c r="K7" s="39">
        <f t="shared" si="4"/>
        <v>1.2920689655172413</v>
      </c>
      <c r="L7" s="39">
        <f t="shared" si="5"/>
        <v>0</v>
      </c>
      <c r="M7" s="39">
        <f t="shared" si="6"/>
        <v>1.1460344827586209</v>
      </c>
      <c r="N7" s="39">
        <f t="shared" si="7"/>
        <v>601</v>
      </c>
      <c r="O7" s="39">
        <f t="shared" si="8"/>
        <v>811.41931034482752</v>
      </c>
      <c r="P7" s="39">
        <f t="shared" si="9"/>
        <v>1412.4193103448274</v>
      </c>
      <c r="Q7" s="39">
        <f t="shared" si="10"/>
        <v>601</v>
      </c>
      <c r="R7" s="39">
        <f t="shared" si="11"/>
        <v>719.70965517241393</v>
      </c>
      <c r="S7" s="40">
        <f t="shared" si="12"/>
        <v>1320.7096551724139</v>
      </c>
      <c r="T7">
        <f t="shared" si="13"/>
        <v>1412.4193103448274</v>
      </c>
      <c r="U7">
        <f t="shared" si="14"/>
        <v>1320.7096551724139</v>
      </c>
      <c r="V7">
        <f>IF(AND(settings!$D$4=0,settings!$D$7=0),'Small Dist Weight'!P7,IF(AND(settings!$D$4=0,settings!$D$7=1),T7,IF(AND(settings!$D$4=1,settings!$D$7=0),S7,U7)))</f>
        <v>1320.7096551724139</v>
      </c>
      <c r="AE7">
        <v>3</v>
      </c>
      <c r="AF7">
        <f>AB10*AD9</f>
        <v>6.3636363636363642</v>
      </c>
    </row>
    <row r="8" spans="1:32">
      <c r="A8" t="str">
        <f>'Student Enrollment Data'!A10</f>
        <v>025</v>
      </c>
      <c r="B8">
        <f>'Student Enrollment Data'!B10</f>
        <v>25</v>
      </c>
      <c r="C8" t="str">
        <f>'Student Enrollment Data'!C10</f>
        <v>Pocatello School District # 025</v>
      </c>
      <c r="D8">
        <v>0</v>
      </c>
      <c r="E8" s="37">
        <f>IF(settings!$G$4=0,'Student Enrollment Data'!BA10,'Student Enrollment Data'!CN10)</f>
        <v>6060.5</v>
      </c>
      <c r="F8" s="37">
        <f>IF(settings!$G$4=0,'Student Enrollment Data'!BB10,'Student Enrollment Data'!CO10)</f>
        <v>5956</v>
      </c>
      <c r="G8" s="37">
        <f t="shared" si="0"/>
        <v>0</v>
      </c>
      <c r="H8" s="37">
        <f t="shared" si="1"/>
        <v>0</v>
      </c>
      <c r="I8" s="37">
        <f t="shared" si="2"/>
        <v>0</v>
      </c>
      <c r="J8" s="39" t="str">
        <f t="shared" si="3"/>
        <v/>
      </c>
      <c r="K8" s="39" t="str">
        <f t="shared" si="4"/>
        <v/>
      </c>
      <c r="L8" s="39">
        <f t="shared" si="5"/>
        <v>0</v>
      </c>
      <c r="M8" s="39">
        <f t="shared" si="6"/>
        <v>0</v>
      </c>
      <c r="N8" s="39">
        <f t="shared" si="7"/>
        <v>6060.5</v>
      </c>
      <c r="O8" s="39">
        <f t="shared" si="8"/>
        <v>5956</v>
      </c>
      <c r="P8" s="39">
        <f t="shared" si="9"/>
        <v>12016.5</v>
      </c>
      <c r="Q8" s="39">
        <f t="shared" si="10"/>
        <v>6060.5</v>
      </c>
      <c r="R8" s="39">
        <f t="shared" si="11"/>
        <v>5956</v>
      </c>
      <c r="S8" s="40">
        <f t="shared" si="12"/>
        <v>12016.5</v>
      </c>
      <c r="T8">
        <f t="shared" si="13"/>
        <v>12016.5</v>
      </c>
      <c r="U8">
        <f t="shared" si="14"/>
        <v>12016.5</v>
      </c>
      <c r="V8">
        <f>IF(AND(settings!$D$4=0,settings!$D$7=0),'Small Dist Weight'!P8,IF(AND(settings!$D$4=0,settings!$D$7=1),T8,IF(AND(settings!$D$4=1,settings!$D$7=0),S8,U8)))</f>
        <v>12016.5</v>
      </c>
      <c r="Y8" t="s">
        <v>270</v>
      </c>
      <c r="AE8">
        <v>4</v>
      </c>
      <c r="AF8">
        <f>AB10*AD9</f>
        <v>6.3636363636363642</v>
      </c>
    </row>
    <row r="9" spans="1:32">
      <c r="A9" t="str">
        <f>'Student Enrollment Data'!A11</f>
        <v>033</v>
      </c>
      <c r="B9">
        <f>'Student Enrollment Data'!B11</f>
        <v>33</v>
      </c>
      <c r="C9" t="str">
        <f>'Student Enrollment Data'!C11</f>
        <v>Bear Lake County School District # 033</v>
      </c>
      <c r="D9">
        <v>0</v>
      </c>
      <c r="E9" s="37">
        <f>IF(settings!$G$4=0,'Student Enrollment Data'!BA11,'Student Enrollment Data'!CN11)</f>
        <v>623.5</v>
      </c>
      <c r="F9" s="37">
        <f>IF(settings!$G$4=0,'Student Enrollment Data'!BB11,'Student Enrollment Data'!CO11)</f>
        <v>504</v>
      </c>
      <c r="G9" s="37">
        <f t="shared" si="0"/>
        <v>0</v>
      </c>
      <c r="H9" s="37">
        <f t="shared" si="1"/>
        <v>1</v>
      </c>
      <c r="I9" s="37">
        <f t="shared" si="2"/>
        <v>0</v>
      </c>
      <c r="J9" s="39" t="str">
        <f t="shared" si="3"/>
        <v/>
      </c>
      <c r="K9" s="39">
        <f t="shared" si="4"/>
        <v>1.4417241379310344</v>
      </c>
      <c r="L9" s="39">
        <f t="shared" si="5"/>
        <v>0</v>
      </c>
      <c r="M9" s="39">
        <f t="shared" si="6"/>
        <v>1.2208620689655174</v>
      </c>
      <c r="N9" s="39">
        <f t="shared" si="7"/>
        <v>623.5</v>
      </c>
      <c r="O9" s="39">
        <f t="shared" si="8"/>
        <v>726.62896551724134</v>
      </c>
      <c r="P9" s="39">
        <f t="shared" si="9"/>
        <v>1350.1289655172413</v>
      </c>
      <c r="Q9" s="39">
        <f t="shared" si="10"/>
        <v>623.5</v>
      </c>
      <c r="R9" s="39">
        <f t="shared" si="11"/>
        <v>615.31448275862078</v>
      </c>
      <c r="S9" s="40">
        <f t="shared" si="12"/>
        <v>1238.8144827586207</v>
      </c>
      <c r="T9">
        <f t="shared" si="13"/>
        <v>1350.1289655172413</v>
      </c>
      <c r="U9">
        <f t="shared" si="14"/>
        <v>1238.8144827586207</v>
      </c>
      <c r="V9">
        <f>IF(AND(settings!$D$4=0,settings!$D$7=0),'Small Dist Weight'!P9,IF(AND(settings!$D$4=0,settings!$D$7=1),T9,IF(AND(settings!$D$4=1,settings!$D$7=0),S9,U9)))</f>
        <v>1238.8144827586207</v>
      </c>
      <c r="Y9" t="s">
        <v>266</v>
      </c>
      <c r="Z9" t="s">
        <v>271</v>
      </c>
      <c r="AA9" t="s">
        <v>274</v>
      </c>
      <c r="AB9" t="s">
        <v>275</v>
      </c>
      <c r="AD9">
        <v>4000</v>
      </c>
    </row>
    <row r="10" spans="1:32">
      <c r="A10" t="str">
        <f>'Student Enrollment Data'!A12</f>
        <v>041</v>
      </c>
      <c r="B10">
        <f>'Student Enrollment Data'!B12</f>
        <v>41</v>
      </c>
      <c r="C10" t="str">
        <f>'Student Enrollment Data'!C12</f>
        <v>St. Maries Joint School District # 041</v>
      </c>
      <c r="D10">
        <v>0</v>
      </c>
      <c r="E10" s="37">
        <f>IF(settings!$G$4=0,'Student Enrollment Data'!BA12,'Student Enrollment Data'!CN12)</f>
        <v>490</v>
      </c>
      <c r="F10" s="37">
        <f>IF(settings!$G$4=0,'Student Enrollment Data'!BB12,'Student Enrollment Data'!CO12)</f>
        <v>450</v>
      </c>
      <c r="G10" s="37">
        <f t="shared" si="0"/>
        <v>0</v>
      </c>
      <c r="H10" s="37">
        <f t="shared" si="1"/>
        <v>1</v>
      </c>
      <c r="I10" s="37">
        <f t="shared" si="2"/>
        <v>0</v>
      </c>
      <c r="J10" s="39" t="str">
        <f t="shared" si="3"/>
        <v/>
      </c>
      <c r="K10" s="39">
        <f t="shared" si="4"/>
        <v>1.5068965517241379</v>
      </c>
      <c r="L10" s="39">
        <f t="shared" si="5"/>
        <v>0</v>
      </c>
      <c r="M10" s="39">
        <f t="shared" si="6"/>
        <v>1.2534482758620691</v>
      </c>
      <c r="N10" s="39">
        <f t="shared" si="7"/>
        <v>490</v>
      </c>
      <c r="O10" s="39">
        <f t="shared" si="8"/>
        <v>678.10344827586209</v>
      </c>
      <c r="P10" s="39">
        <f t="shared" si="9"/>
        <v>1168.1034482758621</v>
      </c>
      <c r="Q10" s="39">
        <f t="shared" si="10"/>
        <v>490</v>
      </c>
      <c r="R10" s="39">
        <f t="shared" si="11"/>
        <v>564.05172413793105</v>
      </c>
      <c r="S10" s="40">
        <f t="shared" si="12"/>
        <v>1054.0517241379312</v>
      </c>
      <c r="T10">
        <f t="shared" si="13"/>
        <v>1168.1034482758621</v>
      </c>
      <c r="U10">
        <f t="shared" si="14"/>
        <v>1054.0517241379312</v>
      </c>
      <c r="V10">
        <f>IF(AND(settings!$D$4=0,settings!$D$7=0),'Small Dist Weight'!P10,IF(AND(settings!$D$4=0,settings!$D$7=1),T10,IF(AND(settings!$D$4=1,settings!$D$7=0),S10,U10)))</f>
        <v>1054.0517241379312</v>
      </c>
      <c r="W10" s="30" t="s">
        <v>264</v>
      </c>
      <c r="X10">
        <f>X5</f>
        <v>330</v>
      </c>
      <c r="Y10">
        <v>1.05</v>
      </c>
      <c r="Z10">
        <f>X10/2</f>
        <v>165</v>
      </c>
      <c r="AA10">
        <f>Y10*0.25</f>
        <v>0.26250000000000001</v>
      </c>
      <c r="AB10" s="163">
        <f>AA10/Z10</f>
        <v>1.590909090909091E-3</v>
      </c>
    </row>
    <row r="11" spans="1:32" s="30" customFormat="1">
      <c r="A11" s="30" t="str">
        <f>'Student Enrollment Data'!A13</f>
        <v>044</v>
      </c>
      <c r="B11" s="30">
        <f>'Student Enrollment Data'!B13</f>
        <v>44</v>
      </c>
      <c r="C11" s="30" t="str">
        <f>'Student Enrollment Data'!C13</f>
        <v>Plummer / Worley Joint School District # 044</v>
      </c>
      <c r="D11" s="30">
        <v>0</v>
      </c>
      <c r="E11" s="164">
        <f>IF(settings!$G$4=0,'Student Enrollment Data'!BA13,'Student Enrollment Data'!CN13)</f>
        <v>169.5</v>
      </c>
      <c r="F11" s="164">
        <f>IF(settings!$G$4=0,'Student Enrollment Data'!BB13,'Student Enrollment Data'!CO13)</f>
        <v>171</v>
      </c>
      <c r="G11" s="164">
        <f t="shared" si="0"/>
        <v>1</v>
      </c>
      <c r="H11" s="164">
        <f t="shared" si="1"/>
        <v>1</v>
      </c>
      <c r="I11" s="164">
        <f t="shared" si="2"/>
        <v>1</v>
      </c>
      <c r="J11" s="165">
        <f t="shared" si="3"/>
        <v>1.5106818181818182</v>
      </c>
      <c r="K11" s="165">
        <f t="shared" si="4"/>
        <v>1.8436206896551726</v>
      </c>
      <c r="L11" s="165">
        <f>IF(E11&lt;=$AA$5,1+$Y$10,IF(AND(E11&gt;=$Z$10,E11&lt;$X$10),1-$AA$10+($AA$11-(E11*$AB$10)),IF(AND(E11&lt;$Z$11,E11&lt;$X$11),1+$AA$10+($AA$11-(E11*$AB$11)),0)))</f>
        <v>1.2553409090909091</v>
      </c>
      <c r="M11" s="165">
        <f t="shared" si="6"/>
        <v>1.7404310344827587</v>
      </c>
      <c r="N11" s="165">
        <f t="shared" si="7"/>
        <v>256.06056818181821</v>
      </c>
      <c r="O11" s="165">
        <f t="shared" si="8"/>
        <v>315.2591379310345</v>
      </c>
      <c r="P11" s="165">
        <f t="shared" si="9"/>
        <v>571.31970611285271</v>
      </c>
      <c r="Q11" s="165">
        <f>IF(G11=1,E11*L11,E11)</f>
        <v>212.78028409090911</v>
      </c>
      <c r="R11" s="165">
        <f t="shared" si="11"/>
        <v>297.61370689655172</v>
      </c>
      <c r="S11" s="166">
        <f t="shared" si="12"/>
        <v>510.39399098746082</v>
      </c>
      <c r="T11" s="30">
        <f t="shared" si="13"/>
        <v>571.31970611285271</v>
      </c>
      <c r="U11" s="30">
        <f t="shared" si="14"/>
        <v>510.39399098746082</v>
      </c>
      <c r="V11" s="30">
        <f>IF(AND(settings!$D$4=0,settings!$D$7=0),'Small Dist Weight'!P11,IF(AND(settings!$D$4=0,settings!$D$7=1),T11,IF(AND(settings!$D$4=1,settings!$D$7=0),S11,U11)))</f>
        <v>510.39399098746082</v>
      </c>
      <c r="X11" s="30">
        <f>X5</f>
        <v>330</v>
      </c>
      <c r="Y11" s="30">
        <v>1.05</v>
      </c>
      <c r="Z11" s="30">
        <f>X11/2</f>
        <v>165</v>
      </c>
      <c r="AA11" s="30">
        <f>Y11*0.75</f>
        <v>0.78750000000000009</v>
      </c>
      <c r="AB11" s="167">
        <f>AA11/Z11</f>
        <v>4.7727272727272731E-3</v>
      </c>
      <c r="AF11" s="30">
        <f>10*AB11</f>
        <v>4.7727272727272729E-2</v>
      </c>
    </row>
    <row r="12" spans="1:32">
      <c r="A12" t="str">
        <f>'Student Enrollment Data'!A14</f>
        <v>052</v>
      </c>
      <c r="B12">
        <f>'Student Enrollment Data'!B14</f>
        <v>52</v>
      </c>
      <c r="C12" t="str">
        <f>'Student Enrollment Data'!C14</f>
        <v>Snake River School District # 052</v>
      </c>
      <c r="D12">
        <v>0</v>
      </c>
      <c r="E12" s="37">
        <f>IF(settings!$G$4=0,'Student Enrollment Data'!BA14,'Student Enrollment Data'!CN14)</f>
        <v>868.5</v>
      </c>
      <c r="F12" s="37">
        <f>IF(settings!$G$4=0,'Student Enrollment Data'!BB14,'Student Enrollment Data'!CO14)</f>
        <v>837</v>
      </c>
      <c r="G12" s="37">
        <f t="shared" si="0"/>
        <v>0</v>
      </c>
      <c r="H12" s="37">
        <f t="shared" si="1"/>
        <v>1</v>
      </c>
      <c r="I12" s="37">
        <f t="shared" si="2"/>
        <v>0</v>
      </c>
      <c r="J12" s="39" t="str">
        <f t="shared" si="3"/>
        <v/>
      </c>
      <c r="K12" s="39">
        <f t="shared" si="4"/>
        <v>1.0398275862068966</v>
      </c>
      <c r="L12" s="39">
        <f t="shared" si="5"/>
        <v>0</v>
      </c>
      <c r="M12" s="39">
        <f t="shared" si="6"/>
        <v>1.0199137931034485</v>
      </c>
      <c r="N12" s="39">
        <f t="shared" si="7"/>
        <v>868.5</v>
      </c>
      <c r="O12" s="39">
        <f t="shared" si="8"/>
        <v>870.33568965517247</v>
      </c>
      <c r="P12" s="39">
        <f t="shared" si="9"/>
        <v>1738.8356896551725</v>
      </c>
      <c r="Q12" s="39">
        <f t="shared" si="10"/>
        <v>868.5</v>
      </c>
      <c r="R12" s="39">
        <f t="shared" si="11"/>
        <v>853.66784482758646</v>
      </c>
      <c r="S12" s="40">
        <f t="shared" si="12"/>
        <v>1722.1678448275866</v>
      </c>
      <c r="T12">
        <f t="shared" si="13"/>
        <v>1738.8356896551725</v>
      </c>
      <c r="U12">
        <f t="shared" si="14"/>
        <v>1722.1678448275866</v>
      </c>
      <c r="V12">
        <f>IF(AND(settings!$D$4=0,settings!$D$7=0),'Small Dist Weight'!P12,IF(AND(settings!$D$4=0,settings!$D$7=1),T12,IF(AND(settings!$D$4=1,settings!$D$7=0),S12,U12)))</f>
        <v>1722.1678448275866</v>
      </c>
      <c r="W12" s="30" t="s">
        <v>265</v>
      </c>
      <c r="X12">
        <f>X6</f>
        <v>870</v>
      </c>
      <c r="Y12">
        <v>1.05</v>
      </c>
      <c r="Z12">
        <f>X12/2</f>
        <v>435</v>
      </c>
      <c r="AA12">
        <f>Y12*0.25</f>
        <v>0.26250000000000001</v>
      </c>
      <c r="AB12">
        <f>AA12/Z12</f>
        <v>6.03448275862069E-4</v>
      </c>
    </row>
    <row r="13" spans="1:32">
      <c r="A13" t="str">
        <f>'Student Enrollment Data'!A15</f>
        <v>055</v>
      </c>
      <c r="B13">
        <f>'Student Enrollment Data'!B15</f>
        <v>55</v>
      </c>
      <c r="C13" t="str">
        <f>'Student Enrollment Data'!C15</f>
        <v>Blackfoot School District # 055</v>
      </c>
      <c r="D13">
        <v>0</v>
      </c>
      <c r="E13" s="37">
        <f>IF(settings!$G$4=0,'Student Enrollment Data'!BA15,'Student Enrollment Data'!CN15)</f>
        <v>1784.5</v>
      </c>
      <c r="F13" s="37">
        <f>IF(settings!$G$4=0,'Student Enrollment Data'!BB15,'Student Enrollment Data'!CO15)</f>
        <v>1862</v>
      </c>
      <c r="G13" s="37">
        <f t="shared" si="0"/>
        <v>0</v>
      </c>
      <c r="H13" s="37">
        <f t="shared" si="1"/>
        <v>0</v>
      </c>
      <c r="I13" s="37">
        <f t="shared" si="2"/>
        <v>0</v>
      </c>
      <c r="J13" s="39" t="str">
        <f t="shared" si="3"/>
        <v/>
      </c>
      <c r="K13" s="39" t="str">
        <f t="shared" si="4"/>
        <v/>
      </c>
      <c r="L13" s="39">
        <f t="shared" si="5"/>
        <v>0</v>
      </c>
      <c r="M13" s="39">
        <f t="shared" si="6"/>
        <v>0</v>
      </c>
      <c r="N13" s="39">
        <f t="shared" si="7"/>
        <v>1784.5</v>
      </c>
      <c r="O13" s="39">
        <f t="shared" si="8"/>
        <v>1862</v>
      </c>
      <c r="P13" s="39">
        <f t="shared" si="9"/>
        <v>3646.5</v>
      </c>
      <c r="Q13" s="39">
        <f t="shared" si="10"/>
        <v>1784.5</v>
      </c>
      <c r="R13" s="39">
        <f t="shared" si="11"/>
        <v>1862</v>
      </c>
      <c r="S13" s="40">
        <f t="shared" si="12"/>
        <v>3646.5</v>
      </c>
      <c r="T13">
        <f t="shared" si="13"/>
        <v>3646.5</v>
      </c>
      <c r="U13">
        <f t="shared" si="14"/>
        <v>3646.5</v>
      </c>
      <c r="V13">
        <f>IF(AND(settings!$D$4=0,settings!$D$7=0),'Small Dist Weight'!P13,IF(AND(settings!$D$4=0,settings!$D$7=1),T13,IF(AND(settings!$D$4=1,settings!$D$7=0),S13,U13)))</f>
        <v>3646.5</v>
      </c>
      <c r="X13">
        <f>X6</f>
        <v>870</v>
      </c>
      <c r="Y13">
        <v>1.05</v>
      </c>
      <c r="Z13">
        <f>X13/2</f>
        <v>435</v>
      </c>
      <c r="AA13">
        <f>Y13*0.75</f>
        <v>0.78750000000000009</v>
      </c>
      <c r="AB13">
        <f>AA13/Z13</f>
        <v>1.810344827586207E-3</v>
      </c>
    </row>
    <row r="14" spans="1:32">
      <c r="A14" t="str">
        <f>'Student Enrollment Data'!A16</f>
        <v>058</v>
      </c>
      <c r="B14">
        <f>'Student Enrollment Data'!B16</f>
        <v>58</v>
      </c>
      <c r="C14" t="str">
        <f>'Student Enrollment Data'!C16</f>
        <v>Aberdeen School District # 058</v>
      </c>
      <c r="D14">
        <v>0</v>
      </c>
      <c r="E14" s="37">
        <f>IF(settings!$G$4=0,'Student Enrollment Data'!BA16,'Student Enrollment Data'!CN16)</f>
        <v>367</v>
      </c>
      <c r="F14" s="37">
        <f>IF(settings!$G$4=0,'Student Enrollment Data'!BB16,'Student Enrollment Data'!CO16)</f>
        <v>335</v>
      </c>
      <c r="G14" s="37">
        <f t="shared" si="0"/>
        <v>0</v>
      </c>
      <c r="H14" s="37">
        <f t="shared" si="1"/>
        <v>1</v>
      </c>
      <c r="I14" s="37">
        <f t="shared" si="2"/>
        <v>0</v>
      </c>
      <c r="J14" s="39" t="str">
        <f t="shared" si="3"/>
        <v/>
      </c>
      <c r="K14" s="39">
        <f t="shared" si="4"/>
        <v>1.6456896551724138</v>
      </c>
      <c r="L14" s="39">
        <f t="shared" si="5"/>
        <v>0</v>
      </c>
      <c r="M14" s="39">
        <f t="shared" si="6"/>
        <v>1.4435344827586207</v>
      </c>
      <c r="N14" s="39">
        <f t="shared" si="7"/>
        <v>367</v>
      </c>
      <c r="O14" s="39">
        <f t="shared" si="8"/>
        <v>551.30603448275861</v>
      </c>
      <c r="P14" s="39">
        <f t="shared" si="9"/>
        <v>918.30603448275861</v>
      </c>
      <c r="Q14" s="39">
        <f t="shared" si="10"/>
        <v>367</v>
      </c>
      <c r="R14" s="39">
        <f t="shared" si="11"/>
        <v>483.58405172413796</v>
      </c>
      <c r="S14" s="40">
        <f t="shared" si="12"/>
        <v>850.58405172413791</v>
      </c>
      <c r="T14">
        <f t="shared" si="13"/>
        <v>918.30603448275861</v>
      </c>
      <c r="U14">
        <f t="shared" si="14"/>
        <v>850.58405172413791</v>
      </c>
      <c r="V14">
        <f>IF(AND(settings!$D$4=0,settings!$D$7=0),'Small Dist Weight'!P14,IF(AND(settings!$D$4=0,settings!$D$7=1),T14,IF(AND(settings!$D$4=1,settings!$D$7=0),S14,U14)))</f>
        <v>850.58405172413791</v>
      </c>
    </row>
    <row r="15" spans="1:32">
      <c r="A15" t="str">
        <f>'Student Enrollment Data'!A17</f>
        <v>059</v>
      </c>
      <c r="B15">
        <f>'Student Enrollment Data'!B17</f>
        <v>59</v>
      </c>
      <c r="C15" t="str">
        <f>'Student Enrollment Data'!C17</f>
        <v>Firth School District # 059</v>
      </c>
      <c r="D15">
        <v>0</v>
      </c>
      <c r="E15" s="37">
        <f>IF(settings!$G$4=0,'Student Enrollment Data'!BA17,'Student Enrollment Data'!CN17)</f>
        <v>421</v>
      </c>
      <c r="F15" s="37">
        <f>IF(settings!$G$4=0,'Student Enrollment Data'!BB17,'Student Enrollment Data'!CO17)</f>
        <v>390</v>
      </c>
      <c r="G15" s="37">
        <f t="shared" si="0"/>
        <v>0</v>
      </c>
      <c r="H15" s="37">
        <f t="shared" si="1"/>
        <v>1</v>
      </c>
      <c r="I15" s="37">
        <f t="shared" si="2"/>
        <v>0</v>
      </c>
      <c r="J15" s="39" t="str">
        <f t="shared" si="3"/>
        <v/>
      </c>
      <c r="K15" s="39">
        <f t="shared" si="4"/>
        <v>1.5793103448275863</v>
      </c>
      <c r="L15" s="39">
        <f t="shared" si="5"/>
        <v>0</v>
      </c>
      <c r="M15" s="39">
        <f t="shared" si="6"/>
        <v>1.3439655172413794</v>
      </c>
      <c r="N15" s="39">
        <f t="shared" si="7"/>
        <v>421</v>
      </c>
      <c r="O15" s="39">
        <f t="shared" si="8"/>
        <v>615.93103448275861</v>
      </c>
      <c r="P15" s="39">
        <f t="shared" si="9"/>
        <v>1036.9310344827586</v>
      </c>
      <c r="Q15" s="39">
        <f t="shared" si="10"/>
        <v>421</v>
      </c>
      <c r="R15" s="39">
        <f t="shared" si="11"/>
        <v>524.14655172413791</v>
      </c>
      <c r="S15" s="40">
        <f t="shared" si="12"/>
        <v>945.14655172413791</v>
      </c>
      <c r="T15">
        <f t="shared" si="13"/>
        <v>1036.9310344827586</v>
      </c>
      <c r="U15">
        <f t="shared" si="14"/>
        <v>945.14655172413791</v>
      </c>
      <c r="V15">
        <f>IF(AND(settings!$D$4=0,settings!$D$7=0),'Small Dist Weight'!P15,IF(AND(settings!$D$4=0,settings!$D$7=1),T15,IF(AND(settings!$D$4=1,settings!$D$7=0),S15,U15)))</f>
        <v>945.14655172413791</v>
      </c>
    </row>
    <row r="16" spans="1:32">
      <c r="A16" t="str">
        <f>'Student Enrollment Data'!A18</f>
        <v>060</v>
      </c>
      <c r="B16">
        <f>'Student Enrollment Data'!B18</f>
        <v>60</v>
      </c>
      <c r="C16" t="str">
        <f>'Student Enrollment Data'!C18</f>
        <v>Shelley Joint School District # 060</v>
      </c>
      <c r="D16">
        <v>0</v>
      </c>
      <c r="E16" s="37">
        <f>IF(settings!$G$4=0,'Student Enrollment Data'!BA18,'Student Enrollment Data'!CN18)</f>
        <v>1220</v>
      </c>
      <c r="F16" s="37">
        <f>IF(settings!$G$4=0,'Student Enrollment Data'!BB18,'Student Enrollment Data'!CO18)</f>
        <v>1021</v>
      </c>
      <c r="G16" s="37">
        <f t="shared" si="0"/>
        <v>0</v>
      </c>
      <c r="H16" s="37">
        <f t="shared" si="1"/>
        <v>0</v>
      </c>
      <c r="I16" s="37">
        <f t="shared" si="2"/>
        <v>0</v>
      </c>
      <c r="J16" s="39" t="str">
        <f t="shared" si="3"/>
        <v/>
      </c>
      <c r="K16" s="39" t="str">
        <f t="shared" si="4"/>
        <v/>
      </c>
      <c r="L16" s="39">
        <f t="shared" si="5"/>
        <v>0</v>
      </c>
      <c r="M16" s="39">
        <f t="shared" si="6"/>
        <v>0</v>
      </c>
      <c r="N16" s="39">
        <f t="shared" si="7"/>
        <v>1220</v>
      </c>
      <c r="O16" s="39">
        <f t="shared" si="8"/>
        <v>1021</v>
      </c>
      <c r="P16" s="39">
        <f t="shared" si="9"/>
        <v>2241</v>
      </c>
      <c r="Q16" s="39">
        <f t="shared" si="10"/>
        <v>1220</v>
      </c>
      <c r="R16" s="39">
        <f t="shared" si="11"/>
        <v>1021</v>
      </c>
      <c r="S16" s="40">
        <f t="shared" si="12"/>
        <v>2241</v>
      </c>
      <c r="T16">
        <f t="shared" si="13"/>
        <v>2241</v>
      </c>
      <c r="U16">
        <f t="shared" si="14"/>
        <v>2241</v>
      </c>
      <c r="V16">
        <f>IF(AND(settings!$D$4=0,settings!$D$7=0),'Small Dist Weight'!P16,IF(AND(settings!$D$4=0,settings!$D$7=1),T16,IF(AND(settings!$D$4=1,settings!$D$7=0),S16,U16)))</f>
        <v>2241</v>
      </c>
    </row>
    <row r="17" spans="1:29">
      <c r="A17" t="str">
        <f>'Student Enrollment Data'!A19</f>
        <v>061</v>
      </c>
      <c r="B17">
        <f>'Student Enrollment Data'!B19</f>
        <v>61</v>
      </c>
      <c r="C17" t="str">
        <f>'Student Enrollment Data'!C19</f>
        <v>Blaine County School District # 061</v>
      </c>
      <c r="D17">
        <v>0</v>
      </c>
      <c r="E17" s="37">
        <f>IF(settings!$G$4=0,'Student Enrollment Data'!BA19,'Student Enrollment Data'!CN19)</f>
        <v>1597.5</v>
      </c>
      <c r="F17" s="37">
        <f>IF(settings!$G$4=0,'Student Enrollment Data'!BB19,'Student Enrollment Data'!CO19)</f>
        <v>1661</v>
      </c>
      <c r="G17" s="37">
        <f t="shared" si="0"/>
        <v>0</v>
      </c>
      <c r="H17" s="37">
        <f t="shared" si="1"/>
        <v>0</v>
      </c>
      <c r="I17" s="37">
        <f t="shared" si="2"/>
        <v>0</v>
      </c>
      <c r="J17" s="39" t="str">
        <f t="shared" si="3"/>
        <v/>
      </c>
      <c r="K17" s="39" t="str">
        <f t="shared" si="4"/>
        <v/>
      </c>
      <c r="L17" s="39">
        <f t="shared" si="5"/>
        <v>0</v>
      </c>
      <c r="M17" s="39">
        <f t="shared" si="6"/>
        <v>0</v>
      </c>
      <c r="N17" s="39">
        <f t="shared" si="7"/>
        <v>1597.5</v>
      </c>
      <c r="O17" s="39">
        <f t="shared" si="8"/>
        <v>1661</v>
      </c>
      <c r="P17" s="39">
        <f t="shared" si="9"/>
        <v>3258.5</v>
      </c>
      <c r="Q17" s="39">
        <f t="shared" si="10"/>
        <v>1597.5</v>
      </c>
      <c r="R17" s="39">
        <f t="shared" si="11"/>
        <v>1661</v>
      </c>
      <c r="S17" s="40">
        <f t="shared" si="12"/>
        <v>3258.5</v>
      </c>
      <c r="T17">
        <f t="shared" si="13"/>
        <v>3258.5</v>
      </c>
      <c r="U17">
        <f t="shared" si="14"/>
        <v>3258.5</v>
      </c>
      <c r="V17">
        <f>IF(AND(settings!$D$4=0,settings!$D$7=0),'Small Dist Weight'!P17,IF(AND(settings!$D$4=0,settings!$D$7=1),T17,IF(AND(settings!$D$4=1,settings!$D$7=0),S17,U17)))</f>
        <v>3258.5</v>
      </c>
      <c r="AA17">
        <v>1.2430000000000001</v>
      </c>
    </row>
    <row r="18" spans="1:29">
      <c r="A18" t="str">
        <f>'Student Enrollment Data'!A20</f>
        <v>071</v>
      </c>
      <c r="B18">
        <f>'Student Enrollment Data'!B20</f>
        <v>71</v>
      </c>
      <c r="C18" t="str">
        <f>'Student Enrollment Data'!C20</f>
        <v>Garden Valley School District # 071</v>
      </c>
      <c r="D18">
        <v>0</v>
      </c>
      <c r="E18" s="37">
        <f>IF(settings!$G$4=0,'Student Enrollment Data'!BA20,'Student Enrollment Data'!CN20)</f>
        <v>132</v>
      </c>
      <c r="F18" s="37">
        <f>IF(settings!$G$4=0,'Student Enrollment Data'!BB20,'Student Enrollment Data'!CO20)</f>
        <v>107</v>
      </c>
      <c r="G18" s="37">
        <f t="shared" si="0"/>
        <v>1</v>
      </c>
      <c r="H18" s="37">
        <f t="shared" si="1"/>
        <v>1</v>
      </c>
      <c r="I18" s="37">
        <f t="shared" si="2"/>
        <v>1</v>
      </c>
      <c r="J18" s="39">
        <f t="shared" si="3"/>
        <v>1.63</v>
      </c>
      <c r="K18" s="39">
        <f t="shared" si="4"/>
        <v>1.9208620689655174</v>
      </c>
      <c r="L18" s="39">
        <f>IF(E18&lt;=$AA$5,1+$Y$10,IF(AND(E18&gt;=$Z$10,E18&lt;$X$10),1-$AA$10+($AA$11-(E18*$AB$10)),IF(AND(E18&lt;$Z$11,E18&lt;$X$11),1+$AA$10+($AA$11-(E18*$AB$11)),0)))</f>
        <v>1.42</v>
      </c>
      <c r="M18" s="39">
        <f t="shared" si="6"/>
        <v>1.8562931034482759</v>
      </c>
      <c r="N18" s="39">
        <f t="shared" si="7"/>
        <v>215.16</v>
      </c>
      <c r="O18" s="39">
        <f t="shared" si="8"/>
        <v>205.53224137931036</v>
      </c>
      <c r="P18" s="39">
        <f t="shared" si="9"/>
        <v>420.69224137931036</v>
      </c>
      <c r="Q18" s="39">
        <f>IF(G18=1,E18*L18,E18)</f>
        <v>187.44</v>
      </c>
      <c r="R18" s="39">
        <f t="shared" si="11"/>
        <v>198.62336206896552</v>
      </c>
      <c r="S18" s="40">
        <f t="shared" si="12"/>
        <v>386.06336206896549</v>
      </c>
      <c r="T18">
        <f t="shared" si="13"/>
        <v>420.69224137931036</v>
      </c>
      <c r="U18">
        <f t="shared" si="14"/>
        <v>386.06336206896549</v>
      </c>
      <c r="V18">
        <f>IF(AND(settings!$D$4=0,settings!$D$7=0),'Small Dist Weight'!P18,IF(AND(settings!$D$4=0,settings!$D$7=1),T18,IF(AND(settings!$D$4=1,settings!$D$7=0),S18,U18)))</f>
        <v>386.06336206896549</v>
      </c>
    </row>
    <row r="19" spans="1:29">
      <c r="A19" t="str">
        <f>'Student Enrollment Data'!A21</f>
        <v>072</v>
      </c>
      <c r="B19">
        <f>'Student Enrollment Data'!B21</f>
        <v>72</v>
      </c>
      <c r="C19" t="str">
        <f>'Student Enrollment Data'!C21</f>
        <v>Basin School District # 072</v>
      </c>
      <c r="D19">
        <v>0</v>
      </c>
      <c r="E19" s="37">
        <f>IF(settings!$G$4=0,'Student Enrollment Data'!BA21,'Student Enrollment Data'!CN21)</f>
        <v>140.5</v>
      </c>
      <c r="F19" s="37">
        <f>IF(settings!$G$4=0,'Student Enrollment Data'!BB21,'Student Enrollment Data'!CO21)</f>
        <v>187</v>
      </c>
      <c r="G19" s="37">
        <f t="shared" si="0"/>
        <v>1</v>
      </c>
      <c r="H19" s="37">
        <f t="shared" si="1"/>
        <v>1</v>
      </c>
      <c r="I19" s="37">
        <f t="shared" si="2"/>
        <v>1</v>
      </c>
      <c r="J19" s="39">
        <f t="shared" si="3"/>
        <v>1.6029545454545455</v>
      </c>
      <c r="K19" s="39">
        <f t="shared" si="4"/>
        <v>1.8243103448275861</v>
      </c>
      <c r="L19" s="39">
        <f t="shared" si="5"/>
        <v>1.3794318181818181</v>
      </c>
      <c r="M19" s="39">
        <f t="shared" si="6"/>
        <v>1.7114655172413793</v>
      </c>
      <c r="N19" s="39">
        <f t="shared" si="7"/>
        <v>225.21511363636364</v>
      </c>
      <c r="O19" s="39">
        <f t="shared" si="8"/>
        <v>341.14603448275858</v>
      </c>
      <c r="P19" s="39">
        <f t="shared" si="9"/>
        <v>566.36114811912216</v>
      </c>
      <c r="Q19" s="39">
        <f t="shared" si="10"/>
        <v>193.81017045454544</v>
      </c>
      <c r="R19" s="39">
        <f t="shared" si="11"/>
        <v>320.04405172413794</v>
      </c>
      <c r="S19" s="40">
        <f t="shared" si="12"/>
        <v>513.85422217868336</v>
      </c>
      <c r="T19">
        <f t="shared" si="13"/>
        <v>566.36114811912216</v>
      </c>
      <c r="U19">
        <f t="shared" si="14"/>
        <v>513.85422217868336</v>
      </c>
      <c r="V19">
        <f>IF(AND(settings!$D$4=0,settings!$D$7=0),'Small Dist Weight'!P19,IF(AND(settings!$D$4=0,settings!$D$7=1),T19,IF(AND(settings!$D$4=1,settings!$D$7=0),S19,U19)))</f>
        <v>513.85422217868336</v>
      </c>
      <c r="AA19" s="162" t="s">
        <v>576</v>
      </c>
    </row>
    <row r="20" spans="1:29">
      <c r="A20" t="str">
        <f>'Student Enrollment Data'!A22</f>
        <v>073</v>
      </c>
      <c r="B20">
        <f>'Student Enrollment Data'!B22</f>
        <v>73</v>
      </c>
      <c r="C20" t="str">
        <f>'Student Enrollment Data'!C22</f>
        <v>Horseshoe Bend School District # 073</v>
      </c>
      <c r="D20">
        <v>0</v>
      </c>
      <c r="E20" s="37">
        <f>IF(settings!$G$4=0,'Student Enrollment Data'!BA22,'Student Enrollment Data'!CN22)</f>
        <v>105</v>
      </c>
      <c r="F20" s="37">
        <f>IF(settings!$G$4=0,'Student Enrollment Data'!BB22,'Student Enrollment Data'!CO22)</f>
        <v>115</v>
      </c>
      <c r="G20" s="37">
        <f t="shared" si="0"/>
        <v>1</v>
      </c>
      <c r="H20" s="37">
        <f t="shared" si="1"/>
        <v>1</v>
      </c>
      <c r="I20" s="37">
        <f t="shared" si="2"/>
        <v>1</v>
      </c>
      <c r="J20" s="39">
        <f t="shared" si="3"/>
        <v>1.7159090909090908</v>
      </c>
      <c r="K20" s="39">
        <f t="shared" si="4"/>
        <v>1.9112068965517242</v>
      </c>
      <c r="L20" s="39">
        <f t="shared" si="5"/>
        <v>1.5488636363636363</v>
      </c>
      <c r="M20" s="39">
        <f t="shared" si="6"/>
        <v>1.8418103448275862</v>
      </c>
      <c r="N20" s="39">
        <f t="shared" si="7"/>
        <v>180.17045454545453</v>
      </c>
      <c r="O20" s="39">
        <f t="shared" si="8"/>
        <v>219.78879310344828</v>
      </c>
      <c r="P20" s="39">
        <f t="shared" si="9"/>
        <v>399.95924764890282</v>
      </c>
      <c r="Q20" s="39">
        <f t="shared" si="10"/>
        <v>162.63068181818181</v>
      </c>
      <c r="R20" s="39">
        <f t="shared" si="11"/>
        <v>211.80818965517241</v>
      </c>
      <c r="S20" s="40">
        <f t="shared" si="12"/>
        <v>374.4388714733542</v>
      </c>
      <c r="T20">
        <f t="shared" si="13"/>
        <v>399.95924764890282</v>
      </c>
      <c r="U20">
        <f t="shared" si="14"/>
        <v>374.4388714733542</v>
      </c>
      <c r="V20">
        <f>IF(AND(settings!$D$4=0,settings!$D$7=0),'Small Dist Weight'!P20,IF(AND(settings!$D$4=0,settings!$D$7=1),T20,IF(AND(settings!$D$4=1,settings!$D$7=0),S20,U20)))</f>
        <v>374.4388714733542</v>
      </c>
      <c r="AA20" t="s">
        <v>577</v>
      </c>
    </row>
    <row r="21" spans="1:29">
      <c r="A21" t="str">
        <f>'Student Enrollment Data'!A23</f>
        <v>083</v>
      </c>
      <c r="B21">
        <f>'Student Enrollment Data'!B23</f>
        <v>83</v>
      </c>
      <c r="C21" t="str">
        <f>'Student Enrollment Data'!C23</f>
        <v>West Bonner County School District # 083</v>
      </c>
      <c r="D21">
        <v>0</v>
      </c>
      <c r="E21" s="37">
        <f>IF(settings!$G$4=0,'Student Enrollment Data'!BA23,'Student Enrollment Data'!CN23)</f>
        <v>498</v>
      </c>
      <c r="F21" s="37">
        <f>IF(settings!$G$4=0,'Student Enrollment Data'!BB23,'Student Enrollment Data'!CO23)</f>
        <v>441</v>
      </c>
      <c r="G21" s="37">
        <f t="shared" si="0"/>
        <v>0</v>
      </c>
      <c r="H21" s="37">
        <f t="shared" si="1"/>
        <v>1</v>
      </c>
      <c r="I21" s="37">
        <f t="shared" si="2"/>
        <v>0</v>
      </c>
      <c r="J21" s="39" t="str">
        <f t="shared" si="3"/>
        <v/>
      </c>
      <c r="K21" s="39">
        <f t="shared" si="4"/>
        <v>1.5177586206896552</v>
      </c>
      <c r="L21" s="39">
        <f t="shared" si="5"/>
        <v>0</v>
      </c>
      <c r="M21" s="39">
        <f t="shared" si="6"/>
        <v>1.2588793103448277</v>
      </c>
      <c r="N21" s="39">
        <f t="shared" si="7"/>
        <v>498</v>
      </c>
      <c r="O21" s="39">
        <f t="shared" si="8"/>
        <v>669.33155172413797</v>
      </c>
      <c r="P21" s="39">
        <f t="shared" si="9"/>
        <v>1167.3315517241381</v>
      </c>
      <c r="Q21" s="39">
        <f t="shared" si="10"/>
        <v>498</v>
      </c>
      <c r="R21" s="39">
        <f t="shared" si="11"/>
        <v>555.16577586206904</v>
      </c>
      <c r="S21" s="40">
        <f t="shared" si="12"/>
        <v>1053.165775862069</v>
      </c>
      <c r="T21">
        <f t="shared" si="13"/>
        <v>1167.3315517241381</v>
      </c>
      <c r="U21">
        <f t="shared" si="14"/>
        <v>1053.165775862069</v>
      </c>
      <c r="V21">
        <f>IF(AND(settings!$D$4=0,settings!$D$7=0),'Small Dist Weight'!P21,IF(AND(settings!$D$4=0,settings!$D$7=1),T21,IF(AND(settings!$D$4=1,settings!$D$7=0),S21,U21)))</f>
        <v>1053.165775862069</v>
      </c>
    </row>
    <row r="22" spans="1:29">
      <c r="A22" t="str">
        <f>'Student Enrollment Data'!A24</f>
        <v>084</v>
      </c>
      <c r="B22">
        <f>'Student Enrollment Data'!B24</f>
        <v>84</v>
      </c>
      <c r="C22" t="str">
        <f>'Student Enrollment Data'!C24</f>
        <v>Lake Pend Oreille School District # 084</v>
      </c>
      <c r="D22">
        <v>0</v>
      </c>
      <c r="E22" s="37">
        <f>IF(settings!$G$4=0,'Student Enrollment Data'!BA24,'Student Enrollment Data'!CN24)</f>
        <v>1928</v>
      </c>
      <c r="F22" s="37">
        <f>IF(settings!$G$4=0,'Student Enrollment Data'!BB24,'Student Enrollment Data'!CO24)</f>
        <v>1744</v>
      </c>
      <c r="G22" s="37">
        <f t="shared" si="0"/>
        <v>0</v>
      </c>
      <c r="H22" s="37">
        <f t="shared" si="1"/>
        <v>0</v>
      </c>
      <c r="I22" s="37">
        <f t="shared" si="2"/>
        <v>0</v>
      </c>
      <c r="J22" s="39" t="str">
        <f t="shared" si="3"/>
        <v/>
      </c>
      <c r="K22" s="39" t="str">
        <f t="shared" si="4"/>
        <v/>
      </c>
      <c r="L22" s="39">
        <f t="shared" si="5"/>
        <v>0</v>
      </c>
      <c r="M22" s="39">
        <f t="shared" si="6"/>
        <v>0</v>
      </c>
      <c r="N22" s="39">
        <f t="shared" si="7"/>
        <v>1928</v>
      </c>
      <c r="O22" s="39">
        <f t="shared" si="8"/>
        <v>1744</v>
      </c>
      <c r="P22" s="39">
        <f t="shared" si="9"/>
        <v>3672</v>
      </c>
      <c r="Q22" s="39">
        <f t="shared" si="10"/>
        <v>1928</v>
      </c>
      <c r="R22" s="39">
        <f t="shared" si="11"/>
        <v>1744</v>
      </c>
      <c r="S22" s="40">
        <f t="shared" si="12"/>
        <v>3672</v>
      </c>
      <c r="T22">
        <f t="shared" si="13"/>
        <v>3672</v>
      </c>
      <c r="U22">
        <f t="shared" si="14"/>
        <v>3672</v>
      </c>
      <c r="V22">
        <f>IF(AND(settings!$D$4=0,settings!$D$7=0),'Small Dist Weight'!P22,IF(AND(settings!$D$4=0,settings!$D$7=1),T22,IF(AND(settings!$D$4=1,settings!$D$7=0),S22,U22)))</f>
        <v>3672</v>
      </c>
    </row>
    <row r="23" spans="1:29">
      <c r="A23" t="str">
        <f>'Student Enrollment Data'!A25</f>
        <v>091</v>
      </c>
      <c r="B23">
        <f>'Student Enrollment Data'!B25</f>
        <v>91</v>
      </c>
      <c r="C23" t="str">
        <f>'Student Enrollment Data'!C25</f>
        <v>Idaho Falls School District # 091</v>
      </c>
      <c r="D23">
        <v>0</v>
      </c>
      <c r="E23" s="37">
        <f>IF(settings!$G$4=0,'Student Enrollment Data'!BA25,'Student Enrollment Data'!CN25)</f>
        <v>4980.5</v>
      </c>
      <c r="F23" s="37">
        <f>IF(settings!$G$4=0,'Student Enrollment Data'!BB25,'Student Enrollment Data'!CO25)</f>
        <v>4783</v>
      </c>
      <c r="G23" s="37">
        <f t="shared" si="0"/>
        <v>0</v>
      </c>
      <c r="H23" s="37">
        <f t="shared" si="1"/>
        <v>0</v>
      </c>
      <c r="I23" s="37">
        <f t="shared" si="2"/>
        <v>0</v>
      </c>
      <c r="J23" s="39" t="str">
        <f t="shared" si="3"/>
        <v/>
      </c>
      <c r="K23" s="39" t="str">
        <f t="shared" si="4"/>
        <v/>
      </c>
      <c r="L23" s="39">
        <f t="shared" si="5"/>
        <v>0</v>
      </c>
      <c r="M23" s="39">
        <f t="shared" si="6"/>
        <v>0</v>
      </c>
      <c r="N23" s="39">
        <f t="shared" si="7"/>
        <v>4980.5</v>
      </c>
      <c r="O23" s="39">
        <f t="shared" si="8"/>
        <v>4783</v>
      </c>
      <c r="P23" s="39">
        <f t="shared" si="9"/>
        <v>9763.5</v>
      </c>
      <c r="Q23" s="39">
        <f t="shared" si="10"/>
        <v>4980.5</v>
      </c>
      <c r="R23" s="39">
        <f t="shared" si="11"/>
        <v>4783</v>
      </c>
      <c r="S23" s="40">
        <f t="shared" si="12"/>
        <v>9763.5</v>
      </c>
      <c r="T23">
        <f t="shared" si="13"/>
        <v>9763.5</v>
      </c>
      <c r="U23">
        <f t="shared" si="14"/>
        <v>9763.5</v>
      </c>
      <c r="V23">
        <f>IF(AND(settings!$D$4=0,settings!$D$7=0),'Small Dist Weight'!P23,IF(AND(settings!$D$4=0,settings!$D$7=1),T23,IF(AND(settings!$D$4=1,settings!$D$7=0),S23,U23)))</f>
        <v>9763.5</v>
      </c>
      <c r="AA23">
        <f>1-AA10</f>
        <v>0.73750000000000004</v>
      </c>
      <c r="AB23" s="42"/>
    </row>
    <row r="24" spans="1:29">
      <c r="A24" t="str">
        <f>'Student Enrollment Data'!A26</f>
        <v>092</v>
      </c>
      <c r="B24">
        <f>'Student Enrollment Data'!B26</f>
        <v>92</v>
      </c>
      <c r="C24" t="str">
        <f>'Student Enrollment Data'!C26</f>
        <v>Swan Valley Elementary School District # 092</v>
      </c>
      <c r="D24">
        <v>0</v>
      </c>
      <c r="E24" s="37">
        <f>IF(settings!$G$4=0,'Student Enrollment Data'!BA26,'Student Enrollment Data'!CN26)</f>
        <v>31.5</v>
      </c>
      <c r="F24" s="37">
        <f>IF(settings!$G$4=0,'Student Enrollment Data'!BB26,'Student Enrollment Data'!CO26)</f>
        <v>9</v>
      </c>
      <c r="G24" s="37">
        <f t="shared" si="0"/>
        <v>1</v>
      </c>
      <c r="H24" s="37">
        <f t="shared" si="1"/>
        <v>1</v>
      </c>
      <c r="I24" s="37">
        <f t="shared" si="2"/>
        <v>1</v>
      </c>
      <c r="J24" s="39">
        <f t="shared" si="3"/>
        <v>1.9497727272727272</v>
      </c>
      <c r="K24" s="39">
        <f t="shared" si="4"/>
        <v>2.0499999999999998</v>
      </c>
      <c r="L24" s="39">
        <f t="shared" si="5"/>
        <v>1.8996590909090909</v>
      </c>
      <c r="M24" s="39">
        <f t="shared" si="6"/>
        <v>2.0499999999999998</v>
      </c>
      <c r="N24" s="39">
        <f t="shared" si="7"/>
        <v>61.417840909090906</v>
      </c>
      <c r="O24" s="39">
        <f t="shared" si="8"/>
        <v>18.45</v>
      </c>
      <c r="P24" s="39">
        <f t="shared" si="9"/>
        <v>79.867840909090901</v>
      </c>
      <c r="Q24" s="39">
        <f t="shared" si="10"/>
        <v>59.839261363636361</v>
      </c>
      <c r="R24" s="39">
        <f t="shared" si="11"/>
        <v>18.45</v>
      </c>
      <c r="S24" s="40">
        <f t="shared" si="12"/>
        <v>78.289261363636356</v>
      </c>
      <c r="T24">
        <f t="shared" si="13"/>
        <v>79.867840909090901</v>
      </c>
      <c r="U24">
        <f t="shared" si="14"/>
        <v>78.289261363636356</v>
      </c>
      <c r="V24">
        <f>IF(AND(settings!$D$4=0,settings!$D$7=0),'Small Dist Weight'!P24,IF(AND(settings!$D$4=0,settings!$D$7=1),T24,IF(AND(settings!$D$4=1,settings!$D$7=0),S24,U24)))</f>
        <v>78.289261363636356</v>
      </c>
      <c r="AA24" t="s">
        <v>575</v>
      </c>
      <c r="AB24" s="42" t="s">
        <v>579</v>
      </c>
    </row>
    <row r="25" spans="1:29">
      <c r="A25" t="str">
        <f>'Student Enrollment Data'!A27</f>
        <v>093</v>
      </c>
      <c r="B25">
        <f>'Student Enrollment Data'!B27</f>
        <v>93</v>
      </c>
      <c r="C25" t="str">
        <f>'Student Enrollment Data'!C27</f>
        <v>Bonneville Joint School District # 093</v>
      </c>
      <c r="D25">
        <v>0</v>
      </c>
      <c r="E25" s="37">
        <f>IF(settings!$G$4=0,'Student Enrollment Data'!BA27,'Student Enrollment Data'!CN27)</f>
        <v>6403.5</v>
      </c>
      <c r="F25" s="37">
        <f>IF(settings!$G$4=0,'Student Enrollment Data'!BB27,'Student Enrollment Data'!CO27)</f>
        <v>5934</v>
      </c>
      <c r="G25" s="37">
        <f t="shared" si="0"/>
        <v>0</v>
      </c>
      <c r="H25" s="37">
        <f t="shared" si="1"/>
        <v>0</v>
      </c>
      <c r="I25" s="37">
        <f t="shared" si="2"/>
        <v>0</v>
      </c>
      <c r="J25" s="39" t="str">
        <f t="shared" si="3"/>
        <v/>
      </c>
      <c r="K25" s="39" t="str">
        <f t="shared" si="4"/>
        <v/>
      </c>
      <c r="L25" s="39">
        <f t="shared" si="5"/>
        <v>0</v>
      </c>
      <c r="M25" s="39">
        <f t="shared" si="6"/>
        <v>0</v>
      </c>
      <c r="N25" s="39">
        <f t="shared" si="7"/>
        <v>6403.5</v>
      </c>
      <c r="O25" s="39">
        <f t="shared" si="8"/>
        <v>5934</v>
      </c>
      <c r="P25" s="39">
        <f t="shared" si="9"/>
        <v>12337.5</v>
      </c>
      <c r="Q25" s="39">
        <f t="shared" si="10"/>
        <v>6403.5</v>
      </c>
      <c r="R25" s="39">
        <f t="shared" si="11"/>
        <v>5934</v>
      </c>
      <c r="S25" s="40">
        <f t="shared" si="12"/>
        <v>12337.5</v>
      </c>
      <c r="T25">
        <f t="shared" si="13"/>
        <v>12337.5</v>
      </c>
      <c r="U25">
        <f t="shared" si="14"/>
        <v>12337.5</v>
      </c>
      <c r="V25">
        <f>IF(AND(settings!$D$4=0,settings!$D$7=0),'Small Dist Weight'!P25,IF(AND(settings!$D$4=0,settings!$D$7=1),T25,IF(AND(settings!$D$4=1,settings!$D$7=0),S25,U25)))</f>
        <v>12337.5</v>
      </c>
      <c r="AA25">
        <f>AA11</f>
        <v>0.78750000000000009</v>
      </c>
      <c r="AB25" s="42"/>
    </row>
    <row r="26" spans="1:29">
      <c r="A26" t="str">
        <f>'Student Enrollment Data'!A28</f>
        <v>101</v>
      </c>
      <c r="B26">
        <f>'Student Enrollment Data'!B28</f>
        <v>101</v>
      </c>
      <c r="C26" t="str">
        <f>'Student Enrollment Data'!C28</f>
        <v>Boundary County School District # 101</v>
      </c>
      <c r="D26">
        <v>0</v>
      </c>
      <c r="E26" s="37">
        <f>IF(settings!$G$4=0,'Student Enrollment Data'!BA28,'Student Enrollment Data'!CN28)</f>
        <v>692.5</v>
      </c>
      <c r="F26" s="37">
        <f>IF(settings!$G$4=0,'Student Enrollment Data'!BB28,'Student Enrollment Data'!CO28)</f>
        <v>669</v>
      </c>
      <c r="G26" s="37">
        <f t="shared" si="0"/>
        <v>0</v>
      </c>
      <c r="H26" s="37">
        <f t="shared" si="1"/>
        <v>1</v>
      </c>
      <c r="I26" s="37">
        <f t="shared" si="2"/>
        <v>0</v>
      </c>
      <c r="J26" s="39" t="str">
        <f t="shared" si="3"/>
        <v/>
      </c>
      <c r="K26" s="39">
        <f t="shared" si="4"/>
        <v>1.2425862068965516</v>
      </c>
      <c r="L26" s="39">
        <f t="shared" si="5"/>
        <v>0</v>
      </c>
      <c r="M26" s="39">
        <f t="shared" si="6"/>
        <v>1.121293103448276</v>
      </c>
      <c r="N26" s="39">
        <f t="shared" si="7"/>
        <v>692.5</v>
      </c>
      <c r="O26" s="39">
        <f t="shared" si="8"/>
        <v>831.29017241379302</v>
      </c>
      <c r="P26" s="39">
        <f t="shared" si="9"/>
        <v>1523.790172413793</v>
      </c>
      <c r="Q26" s="39">
        <f t="shared" si="10"/>
        <v>692.5</v>
      </c>
      <c r="R26" s="39">
        <f t="shared" si="11"/>
        <v>750.14508620689662</v>
      </c>
      <c r="S26" s="40">
        <f t="shared" si="12"/>
        <v>1442.6450862068966</v>
      </c>
      <c r="T26">
        <f t="shared" si="13"/>
        <v>1523.790172413793</v>
      </c>
      <c r="U26">
        <f t="shared" si="14"/>
        <v>1442.6450862068966</v>
      </c>
      <c r="V26">
        <f>IF(AND(settings!$D$4=0,settings!$D$7=0),'Small Dist Weight'!P26,IF(AND(settings!$D$4=0,settings!$D$7=1),T26,IF(AND(settings!$D$4=1,settings!$D$7=0),S26,U26)))</f>
        <v>1442.6450862068966</v>
      </c>
      <c r="AA26" t="s">
        <v>578</v>
      </c>
    </row>
    <row r="27" spans="1:29">
      <c r="A27" t="str">
        <f>'Student Enrollment Data'!A29</f>
        <v>111</v>
      </c>
      <c r="B27">
        <f>'Student Enrollment Data'!B29</f>
        <v>111</v>
      </c>
      <c r="C27" t="str">
        <f>'Student Enrollment Data'!C29</f>
        <v>Butte County Joint School District # 111</v>
      </c>
      <c r="D27">
        <v>0</v>
      </c>
      <c r="E27" s="37">
        <f>IF(settings!$G$4=0,'Student Enrollment Data'!BA29,'Student Enrollment Data'!CN29)</f>
        <v>219</v>
      </c>
      <c r="F27" s="37">
        <f>IF(settings!$G$4=0,'Student Enrollment Data'!BB29,'Student Enrollment Data'!CO29)</f>
        <v>183</v>
      </c>
      <c r="G27" s="37">
        <f t="shared" si="0"/>
        <v>1</v>
      </c>
      <c r="H27" s="37">
        <f t="shared" si="1"/>
        <v>1</v>
      </c>
      <c r="I27" s="37">
        <f t="shared" si="2"/>
        <v>1</v>
      </c>
      <c r="J27" s="39">
        <f t="shared" si="3"/>
        <v>1.353181818181818</v>
      </c>
      <c r="K27" s="39">
        <f t="shared" si="4"/>
        <v>1.8291379310344829</v>
      </c>
      <c r="L27" s="39">
        <f t="shared" si="5"/>
        <v>1.1765909090909092</v>
      </c>
      <c r="M27" s="39">
        <f t="shared" si="6"/>
        <v>1.718706896551724</v>
      </c>
      <c r="N27" s="39">
        <f t="shared" si="7"/>
        <v>296.34681818181815</v>
      </c>
      <c r="O27" s="39">
        <f t="shared" si="8"/>
        <v>334.73224137931038</v>
      </c>
      <c r="P27" s="39">
        <f t="shared" si="9"/>
        <v>631.07905956112859</v>
      </c>
      <c r="Q27" s="39">
        <f t="shared" si="10"/>
        <v>257.6734090909091</v>
      </c>
      <c r="R27" s="39">
        <f t="shared" si="11"/>
        <v>314.52336206896553</v>
      </c>
      <c r="S27" s="40">
        <f t="shared" si="12"/>
        <v>572.19677115987463</v>
      </c>
      <c r="T27">
        <f t="shared" si="13"/>
        <v>631.07905956112859</v>
      </c>
      <c r="U27">
        <f t="shared" si="14"/>
        <v>572.19677115987463</v>
      </c>
      <c r="V27">
        <f>IF(AND(settings!$D$4=0,settings!$D$7=0),'Small Dist Weight'!P27,IF(AND(settings!$D$4=0,settings!$D$7=1),T27,IF(AND(settings!$D$4=1,settings!$D$7=0),S27,U27)))</f>
        <v>572.19677115987463</v>
      </c>
      <c r="AA27" s="42">
        <f>E27*AB10</f>
        <v>0.34840909090909095</v>
      </c>
    </row>
    <row r="28" spans="1:29">
      <c r="A28" t="str">
        <f>'Student Enrollment Data'!A30</f>
        <v>121</v>
      </c>
      <c r="B28">
        <f>'Student Enrollment Data'!B30</f>
        <v>121</v>
      </c>
      <c r="C28" t="str">
        <f>'Student Enrollment Data'!C30</f>
        <v>Camas County School District # 121</v>
      </c>
      <c r="D28">
        <v>0</v>
      </c>
      <c r="E28" s="37">
        <f>IF(settings!$G$4=0,'Student Enrollment Data'!BA30,'Student Enrollment Data'!CN30)</f>
        <v>90.5</v>
      </c>
      <c r="F28" s="37">
        <f>IF(settings!$G$4=0,'Student Enrollment Data'!BB30,'Student Enrollment Data'!CO30)</f>
        <v>100</v>
      </c>
      <c r="G28" s="37">
        <f t="shared" si="0"/>
        <v>1</v>
      </c>
      <c r="H28" s="37">
        <f t="shared" si="1"/>
        <v>1</v>
      </c>
      <c r="I28" s="37">
        <f t="shared" si="2"/>
        <v>1</v>
      </c>
      <c r="J28" s="39">
        <f t="shared" si="3"/>
        <v>1.7620454545454547</v>
      </c>
      <c r="K28" s="39">
        <f t="shared" si="4"/>
        <v>1.9293103448275861</v>
      </c>
      <c r="L28" s="39">
        <f t="shared" si="5"/>
        <v>1.6180681818181819</v>
      </c>
      <c r="M28" s="39">
        <f t="shared" si="6"/>
        <v>1.8689655172413793</v>
      </c>
      <c r="N28" s="39">
        <f t="shared" si="7"/>
        <v>159.46511363636364</v>
      </c>
      <c r="O28" s="39">
        <f t="shared" si="8"/>
        <v>192.93103448275861</v>
      </c>
      <c r="P28" s="39">
        <f t="shared" si="9"/>
        <v>352.39614811912224</v>
      </c>
      <c r="Q28" s="39">
        <f t="shared" si="10"/>
        <v>146.43517045454547</v>
      </c>
      <c r="R28" s="39">
        <f t="shared" si="11"/>
        <v>186.89655172413794</v>
      </c>
      <c r="S28" s="40">
        <f t="shared" si="12"/>
        <v>333.33172217868344</v>
      </c>
      <c r="T28">
        <f t="shared" si="13"/>
        <v>352.39614811912224</v>
      </c>
      <c r="U28">
        <f t="shared" si="14"/>
        <v>333.33172217868344</v>
      </c>
      <c r="V28">
        <f>IF(AND(settings!$D$4=0,settings!$D$7=0),'Small Dist Weight'!P28,IF(AND(settings!$D$4=0,settings!$D$7=1),T28,IF(AND(settings!$D$4=1,settings!$D$7=0),S28,U28)))</f>
        <v>333.33172217868344</v>
      </c>
      <c r="AA28" s="42"/>
    </row>
    <row r="29" spans="1:29">
      <c r="A29" t="str">
        <f>'Student Enrollment Data'!A31</f>
        <v>131</v>
      </c>
      <c r="B29">
        <f>'Student Enrollment Data'!B31</f>
        <v>131</v>
      </c>
      <c r="C29" t="str">
        <f>'Student Enrollment Data'!C31</f>
        <v>Nampa School District # 131</v>
      </c>
      <c r="D29">
        <v>0</v>
      </c>
      <c r="E29" s="37">
        <f>IF(settings!$G$4=0,'Student Enrollment Data'!BA31,'Student Enrollment Data'!CN31)</f>
        <v>6781.5</v>
      </c>
      <c r="F29" s="37">
        <f>IF(settings!$G$4=0,'Student Enrollment Data'!BB31,'Student Enrollment Data'!CO31)</f>
        <v>6584</v>
      </c>
      <c r="G29" s="37">
        <f t="shared" si="0"/>
        <v>0</v>
      </c>
      <c r="H29" s="37">
        <f t="shared" si="1"/>
        <v>0</v>
      </c>
      <c r="I29" s="37">
        <f t="shared" si="2"/>
        <v>0</v>
      </c>
      <c r="J29" s="39" t="str">
        <f t="shared" si="3"/>
        <v/>
      </c>
      <c r="K29" s="39" t="str">
        <f t="shared" si="4"/>
        <v/>
      </c>
      <c r="L29" s="39">
        <f t="shared" si="5"/>
        <v>0</v>
      </c>
      <c r="M29" s="39">
        <f t="shared" si="6"/>
        <v>0</v>
      </c>
      <c r="N29" s="39">
        <f t="shared" si="7"/>
        <v>6781.5</v>
      </c>
      <c r="O29" s="39">
        <f t="shared" si="8"/>
        <v>6584</v>
      </c>
      <c r="P29" s="39">
        <f t="shared" si="9"/>
        <v>13365.5</v>
      </c>
      <c r="Q29" s="39">
        <f t="shared" si="10"/>
        <v>6781.5</v>
      </c>
      <c r="R29" s="39">
        <f t="shared" si="11"/>
        <v>6584</v>
      </c>
      <c r="S29" s="40">
        <f t="shared" si="12"/>
        <v>13365.5</v>
      </c>
      <c r="T29">
        <f t="shared" si="13"/>
        <v>13365.5</v>
      </c>
      <c r="U29">
        <f t="shared" si="14"/>
        <v>13365.5</v>
      </c>
      <c r="V29">
        <f>IF(AND(settings!$D$4=0,settings!$D$7=0),'Small Dist Weight'!P29,IF(AND(settings!$D$4=0,settings!$D$7=1),T29,IF(AND(settings!$D$4=1,settings!$D$7=0),S29,U29)))</f>
        <v>13365.5</v>
      </c>
      <c r="AB29">
        <v>330</v>
      </c>
    </row>
    <row r="30" spans="1:29">
      <c r="A30" t="str">
        <f>'Student Enrollment Data'!A32</f>
        <v>132</v>
      </c>
      <c r="B30">
        <f>'Student Enrollment Data'!B32</f>
        <v>132</v>
      </c>
      <c r="C30" t="str">
        <f>'Student Enrollment Data'!C32</f>
        <v>Caldwell School District # 132</v>
      </c>
      <c r="D30">
        <v>0</v>
      </c>
      <c r="E30" s="37">
        <f>IF(settings!$G$4=0,'Student Enrollment Data'!BA32,'Student Enrollment Data'!CN32)</f>
        <v>3297</v>
      </c>
      <c r="F30" s="37">
        <f>IF(settings!$G$4=0,'Student Enrollment Data'!BB32,'Student Enrollment Data'!CO32)</f>
        <v>2786</v>
      </c>
      <c r="G30" s="37">
        <f t="shared" si="0"/>
        <v>0</v>
      </c>
      <c r="H30" s="37">
        <f t="shared" si="1"/>
        <v>0</v>
      </c>
      <c r="I30" s="37">
        <f t="shared" si="2"/>
        <v>0</v>
      </c>
      <c r="J30" s="39" t="str">
        <f t="shared" si="3"/>
        <v/>
      </c>
      <c r="K30" s="39" t="str">
        <f t="shared" si="4"/>
        <v/>
      </c>
      <c r="L30" s="39">
        <f t="shared" si="5"/>
        <v>0</v>
      </c>
      <c r="M30" s="39">
        <f t="shared" si="6"/>
        <v>0</v>
      </c>
      <c r="N30" s="39">
        <f t="shared" si="7"/>
        <v>3297</v>
      </c>
      <c r="O30" s="39">
        <f t="shared" si="8"/>
        <v>2786</v>
      </c>
      <c r="P30" s="39">
        <f t="shared" si="9"/>
        <v>6083</v>
      </c>
      <c r="Q30" s="39">
        <f t="shared" si="10"/>
        <v>3297</v>
      </c>
      <c r="R30" s="39">
        <f t="shared" si="11"/>
        <v>2786</v>
      </c>
      <c r="S30" s="40">
        <f t="shared" si="12"/>
        <v>6083</v>
      </c>
      <c r="T30">
        <f t="shared" si="13"/>
        <v>6083</v>
      </c>
      <c r="U30">
        <f t="shared" si="14"/>
        <v>6083</v>
      </c>
      <c r="V30">
        <f>IF(AND(settings!$D$4=0,settings!$D$7=0),'Small Dist Weight'!P30,IF(AND(settings!$D$4=0,settings!$D$7=1),T30,IF(AND(settings!$D$4=1,settings!$D$7=0),S30,U30)))</f>
        <v>6083</v>
      </c>
      <c r="AB30">
        <v>4.7699999999999999E-3</v>
      </c>
      <c r="AC30">
        <f>$AB$29*AB30</f>
        <v>1.5741000000000001</v>
      </c>
    </row>
    <row r="31" spans="1:29" s="30" customFormat="1">
      <c r="A31" s="30" t="str">
        <f>'Student Enrollment Data'!A33</f>
        <v>133</v>
      </c>
      <c r="B31" s="30">
        <f>'Student Enrollment Data'!B33</f>
        <v>133</v>
      </c>
      <c r="C31" s="30" t="str">
        <f>'Student Enrollment Data'!C33</f>
        <v>Wilder School District # 133</v>
      </c>
      <c r="D31" s="30">
        <v>0</v>
      </c>
      <c r="E31" s="164">
        <f>IF(settings!$G$4=0,'Student Enrollment Data'!BA33,'Student Enrollment Data'!CN33)</f>
        <v>275.5</v>
      </c>
      <c r="F31" s="164">
        <f>IF(settings!$G$4=0,'Student Enrollment Data'!BB33,'Student Enrollment Data'!CO33)</f>
        <v>224</v>
      </c>
      <c r="G31" s="164">
        <f t="shared" si="0"/>
        <v>1</v>
      </c>
      <c r="H31" s="164">
        <f t="shared" si="1"/>
        <v>1</v>
      </c>
      <c r="I31" s="164">
        <f t="shared" si="2"/>
        <v>1</v>
      </c>
      <c r="J31" s="165">
        <f t="shared" si="3"/>
        <v>1.1734090909090908</v>
      </c>
      <c r="K31" s="165">
        <f t="shared" si="4"/>
        <v>1.779655172413793</v>
      </c>
      <c r="L31" s="165">
        <f t="shared" si="5"/>
        <v>1.0867045454545456</v>
      </c>
      <c r="M31" s="165">
        <f t="shared" si="6"/>
        <v>1.6444827586206896</v>
      </c>
      <c r="N31" s="165">
        <f t="shared" si="7"/>
        <v>323.27420454545455</v>
      </c>
      <c r="O31" s="165">
        <f t="shared" si="8"/>
        <v>398.64275862068962</v>
      </c>
      <c r="P31" s="165">
        <f t="shared" si="9"/>
        <v>721.91696316614411</v>
      </c>
      <c r="Q31" s="165">
        <f t="shared" si="10"/>
        <v>299.3871022727273</v>
      </c>
      <c r="R31" s="165">
        <f t="shared" si="11"/>
        <v>368.36413793103446</v>
      </c>
      <c r="S31" s="166">
        <f t="shared" si="12"/>
        <v>667.75124020376177</v>
      </c>
      <c r="T31" s="30">
        <f t="shared" si="13"/>
        <v>721.91696316614411</v>
      </c>
      <c r="U31" s="30">
        <f t="shared" si="14"/>
        <v>667.75124020376177</v>
      </c>
      <c r="V31" s="30">
        <f>IF(AND(settings!$D$4=0,settings!$D$7=0),'Small Dist Weight'!P31,IF(AND(settings!$D$4=0,settings!$D$7=1),T31,IF(AND(settings!$D$4=1,settings!$D$7=0),S31,U31)))</f>
        <v>667.75124020376177</v>
      </c>
      <c r="AB31" s="30">
        <v>4.7999999999999996E-3</v>
      </c>
      <c r="AC31" s="30">
        <f>$AB$29*AB31</f>
        <v>1.5839999999999999</v>
      </c>
    </row>
    <row r="32" spans="1:29">
      <c r="A32" t="str">
        <f>'Student Enrollment Data'!A34</f>
        <v>134</v>
      </c>
      <c r="B32">
        <f>'Student Enrollment Data'!B34</f>
        <v>134</v>
      </c>
      <c r="C32" t="str">
        <f>'Student Enrollment Data'!C34</f>
        <v>Middleton School District # 134</v>
      </c>
      <c r="D32">
        <v>0</v>
      </c>
      <c r="E32" s="37">
        <f>IF(settings!$G$4=0,'Student Enrollment Data'!BA34,'Student Enrollment Data'!CN34)</f>
        <v>1930.5</v>
      </c>
      <c r="F32" s="37">
        <f>IF(settings!$G$4=0,'Student Enrollment Data'!BB34,'Student Enrollment Data'!CO34)</f>
        <v>1992</v>
      </c>
      <c r="G32" s="37">
        <f t="shared" si="0"/>
        <v>0</v>
      </c>
      <c r="H32" s="37">
        <f t="shared" si="1"/>
        <v>0</v>
      </c>
      <c r="I32" s="37">
        <f t="shared" si="2"/>
        <v>0</v>
      </c>
      <c r="J32" s="39" t="str">
        <f t="shared" si="3"/>
        <v/>
      </c>
      <c r="K32" s="39" t="str">
        <f t="shared" si="4"/>
        <v/>
      </c>
      <c r="L32" s="39">
        <f t="shared" si="5"/>
        <v>0</v>
      </c>
      <c r="M32" s="39">
        <f t="shared" si="6"/>
        <v>0</v>
      </c>
      <c r="N32" s="39">
        <f t="shared" si="7"/>
        <v>1930.5</v>
      </c>
      <c r="O32" s="39">
        <f t="shared" si="8"/>
        <v>1992</v>
      </c>
      <c r="P32" s="39">
        <f t="shared" si="9"/>
        <v>3922.5</v>
      </c>
      <c r="Q32" s="39">
        <f t="shared" si="10"/>
        <v>1930.5</v>
      </c>
      <c r="R32" s="39">
        <f t="shared" si="11"/>
        <v>1992</v>
      </c>
      <c r="S32" s="40">
        <f t="shared" si="12"/>
        <v>3922.5</v>
      </c>
      <c r="T32">
        <f t="shared" si="13"/>
        <v>3922.5</v>
      </c>
      <c r="U32">
        <f t="shared" si="14"/>
        <v>3922.5</v>
      </c>
      <c r="V32">
        <f>IF(AND(settings!$D$4=0,settings!$D$7=0),'Small Dist Weight'!P32,IF(AND(settings!$D$4=0,settings!$D$7=1),T32,IF(AND(settings!$D$4=1,settings!$D$7=0),S32,U32)))</f>
        <v>3922.5</v>
      </c>
      <c r="AC32">
        <f>AC31-AC30</f>
        <v>9.8999999999997979E-3</v>
      </c>
    </row>
    <row r="33" spans="1:22">
      <c r="A33" t="str">
        <f>'Student Enrollment Data'!A35</f>
        <v>135</v>
      </c>
      <c r="B33">
        <f>'Student Enrollment Data'!B35</f>
        <v>135</v>
      </c>
      <c r="C33" t="str">
        <f>'Student Enrollment Data'!C35</f>
        <v>Notus School District # 135</v>
      </c>
      <c r="D33">
        <v>0</v>
      </c>
      <c r="E33" s="37">
        <f>IF(settings!$G$4=0,'Student Enrollment Data'!BA35,'Student Enrollment Data'!CN35)</f>
        <v>196.5</v>
      </c>
      <c r="F33" s="37">
        <f>IF(settings!$G$4=0,'Student Enrollment Data'!BB35,'Student Enrollment Data'!CO35)</f>
        <v>217</v>
      </c>
      <c r="G33" s="37">
        <f t="shared" si="0"/>
        <v>1</v>
      </c>
      <c r="H33" s="37">
        <f t="shared" si="1"/>
        <v>1</v>
      </c>
      <c r="I33" s="37">
        <f t="shared" si="2"/>
        <v>1</v>
      </c>
      <c r="J33" s="39">
        <f t="shared" si="3"/>
        <v>1.4247727272727273</v>
      </c>
      <c r="K33" s="39">
        <f t="shared" si="4"/>
        <v>1.7881034482758622</v>
      </c>
      <c r="L33" s="39">
        <f t="shared" si="5"/>
        <v>1.2123863636363637</v>
      </c>
      <c r="M33" s="39">
        <f t="shared" si="6"/>
        <v>1.6571551724137932</v>
      </c>
      <c r="N33" s="39">
        <f t="shared" si="7"/>
        <v>279.96784090909091</v>
      </c>
      <c r="O33" s="39">
        <f t="shared" si="8"/>
        <v>388.01844827586211</v>
      </c>
      <c r="P33" s="39">
        <f t="shared" si="9"/>
        <v>667.98628918495297</v>
      </c>
      <c r="Q33" s="39">
        <f t="shared" si="10"/>
        <v>238.23392045454545</v>
      </c>
      <c r="R33" s="39">
        <f t="shared" si="11"/>
        <v>359.60267241379313</v>
      </c>
      <c r="S33" s="40">
        <f t="shared" si="12"/>
        <v>597.83659286833858</v>
      </c>
      <c r="T33">
        <f t="shared" si="13"/>
        <v>667.98628918495297</v>
      </c>
      <c r="U33">
        <f t="shared" si="14"/>
        <v>597.83659286833858</v>
      </c>
      <c r="V33">
        <f>IF(AND(settings!$D$4=0,settings!$D$7=0),'Small Dist Weight'!P33,IF(AND(settings!$D$4=0,settings!$D$7=1),T33,IF(AND(settings!$D$4=1,settings!$D$7=0),S33,U33)))</f>
        <v>597.83659286833858</v>
      </c>
    </row>
    <row r="34" spans="1:22">
      <c r="A34" t="str">
        <f>'Student Enrollment Data'!A36</f>
        <v>136</v>
      </c>
      <c r="B34">
        <f>'Student Enrollment Data'!B36</f>
        <v>136</v>
      </c>
      <c r="C34" t="str">
        <f>'Student Enrollment Data'!C36</f>
        <v>Melba Joint School District # 136</v>
      </c>
      <c r="D34">
        <v>0</v>
      </c>
      <c r="E34" s="37">
        <f>IF(settings!$G$4=0,'Student Enrollment Data'!BA36,'Student Enrollment Data'!CN36)</f>
        <v>404</v>
      </c>
      <c r="F34" s="37">
        <f>IF(settings!$G$4=0,'Student Enrollment Data'!BB36,'Student Enrollment Data'!CO36)</f>
        <v>433</v>
      </c>
      <c r="G34" s="37">
        <f t="shared" si="0"/>
        <v>0</v>
      </c>
      <c r="H34" s="37">
        <f t="shared" si="1"/>
        <v>1</v>
      </c>
      <c r="I34" s="37">
        <f t="shared" si="2"/>
        <v>0</v>
      </c>
      <c r="J34" s="39" t="str">
        <f t="shared" si="3"/>
        <v/>
      </c>
      <c r="K34" s="39">
        <f t="shared" si="4"/>
        <v>1.5274137931034484</v>
      </c>
      <c r="L34" s="39">
        <f t="shared" si="5"/>
        <v>0</v>
      </c>
      <c r="M34" s="39">
        <f t="shared" si="6"/>
        <v>1.2661206896551724</v>
      </c>
      <c r="N34" s="39">
        <f t="shared" si="7"/>
        <v>404</v>
      </c>
      <c r="O34" s="39">
        <f t="shared" si="8"/>
        <v>661.37017241379317</v>
      </c>
      <c r="P34" s="39">
        <f t="shared" si="9"/>
        <v>1065.3701724137932</v>
      </c>
      <c r="Q34" s="39">
        <f t="shared" si="10"/>
        <v>404</v>
      </c>
      <c r="R34" s="39">
        <f t="shared" si="11"/>
        <v>548.23025862068971</v>
      </c>
      <c r="S34" s="40">
        <f t="shared" si="12"/>
        <v>952.23025862068971</v>
      </c>
      <c r="T34">
        <f t="shared" si="13"/>
        <v>1065.3701724137932</v>
      </c>
      <c r="U34">
        <f t="shared" si="14"/>
        <v>952.23025862068971</v>
      </c>
      <c r="V34">
        <f>IF(AND(settings!$D$4=0,settings!$D$7=0),'Small Dist Weight'!P34,IF(AND(settings!$D$4=0,settings!$D$7=1),T34,IF(AND(settings!$D$4=1,settings!$D$7=0),S34,U34)))</f>
        <v>952.23025862068971</v>
      </c>
    </row>
    <row r="35" spans="1:22">
      <c r="A35" t="str">
        <f>'Student Enrollment Data'!A37</f>
        <v>137</v>
      </c>
      <c r="B35">
        <f>'Student Enrollment Data'!B37</f>
        <v>137</v>
      </c>
      <c r="C35" t="str">
        <f>'Student Enrollment Data'!C37</f>
        <v>Parma School District # 137</v>
      </c>
      <c r="D35">
        <v>0</v>
      </c>
      <c r="E35" s="37">
        <f>IF(settings!$G$4=0,'Student Enrollment Data'!BA37,'Student Enrollment Data'!CN37)</f>
        <v>526</v>
      </c>
      <c r="F35" s="37">
        <f>IF(settings!$G$4=0,'Student Enrollment Data'!BB37,'Student Enrollment Data'!CO37)</f>
        <v>505</v>
      </c>
      <c r="G35" s="37">
        <f t="shared" si="0"/>
        <v>0</v>
      </c>
      <c r="H35" s="37">
        <f t="shared" si="1"/>
        <v>1</v>
      </c>
      <c r="I35" s="37">
        <f t="shared" si="2"/>
        <v>0</v>
      </c>
      <c r="J35" s="39" t="str">
        <f t="shared" si="3"/>
        <v/>
      </c>
      <c r="K35" s="39">
        <f t="shared" si="4"/>
        <v>1.4405172413793104</v>
      </c>
      <c r="L35" s="39">
        <f t="shared" si="5"/>
        <v>0</v>
      </c>
      <c r="M35" s="39">
        <f t="shared" si="6"/>
        <v>1.2202586206896553</v>
      </c>
      <c r="N35" s="39">
        <f t="shared" si="7"/>
        <v>526</v>
      </c>
      <c r="O35" s="39">
        <f t="shared" si="8"/>
        <v>727.46120689655174</v>
      </c>
      <c r="P35" s="39">
        <f t="shared" si="9"/>
        <v>1253.4612068965516</v>
      </c>
      <c r="Q35" s="39">
        <f t="shared" si="10"/>
        <v>526</v>
      </c>
      <c r="R35" s="39">
        <f t="shared" si="11"/>
        <v>616.23060344827593</v>
      </c>
      <c r="S35" s="40">
        <f t="shared" si="12"/>
        <v>1142.2306034482758</v>
      </c>
      <c r="T35">
        <f t="shared" si="13"/>
        <v>1253.4612068965516</v>
      </c>
      <c r="U35">
        <f t="shared" si="14"/>
        <v>1142.2306034482758</v>
      </c>
      <c r="V35">
        <f>IF(AND(settings!$D$4=0,settings!$D$7=0),'Small Dist Weight'!P35,IF(AND(settings!$D$4=0,settings!$D$7=1),T35,IF(AND(settings!$D$4=1,settings!$D$7=0),S35,U35)))</f>
        <v>1142.2306034482758</v>
      </c>
    </row>
    <row r="36" spans="1:22">
      <c r="A36" t="str">
        <f>'Student Enrollment Data'!A38</f>
        <v>139</v>
      </c>
      <c r="B36">
        <f>'Student Enrollment Data'!B38</f>
        <v>139</v>
      </c>
      <c r="C36" t="str">
        <f>'Student Enrollment Data'!C38</f>
        <v>Vallivue School District # 139</v>
      </c>
      <c r="D36">
        <v>0</v>
      </c>
      <c r="E36" s="37">
        <f>IF(settings!$G$4=0,'Student Enrollment Data'!BA38,'Student Enrollment Data'!CN38)</f>
        <v>4625.5</v>
      </c>
      <c r="F36" s="37">
        <f>IF(settings!$G$4=0,'Student Enrollment Data'!BB38,'Student Enrollment Data'!CO38)</f>
        <v>4021</v>
      </c>
      <c r="G36" s="37">
        <f t="shared" si="0"/>
        <v>0</v>
      </c>
      <c r="H36" s="37">
        <f t="shared" si="1"/>
        <v>0</v>
      </c>
      <c r="I36" s="37">
        <f t="shared" si="2"/>
        <v>0</v>
      </c>
      <c r="J36" s="39" t="str">
        <f t="shared" si="3"/>
        <v/>
      </c>
      <c r="K36" s="39" t="str">
        <f t="shared" si="4"/>
        <v/>
      </c>
      <c r="L36" s="39">
        <f t="shared" si="5"/>
        <v>0</v>
      </c>
      <c r="M36" s="39">
        <f t="shared" si="6"/>
        <v>0</v>
      </c>
      <c r="N36" s="39">
        <f t="shared" si="7"/>
        <v>4625.5</v>
      </c>
      <c r="O36" s="39">
        <f t="shared" si="8"/>
        <v>4021</v>
      </c>
      <c r="P36" s="39">
        <f t="shared" si="9"/>
        <v>8646.5</v>
      </c>
      <c r="Q36" s="39">
        <f t="shared" si="10"/>
        <v>4625.5</v>
      </c>
      <c r="R36" s="39">
        <f t="shared" si="11"/>
        <v>4021</v>
      </c>
      <c r="S36" s="40">
        <f t="shared" si="12"/>
        <v>8646.5</v>
      </c>
      <c r="T36">
        <f t="shared" si="13"/>
        <v>8646.5</v>
      </c>
      <c r="U36">
        <f t="shared" si="14"/>
        <v>8646.5</v>
      </c>
      <c r="V36">
        <f>IF(AND(settings!$D$4=0,settings!$D$7=0),'Small Dist Weight'!P36,IF(AND(settings!$D$4=0,settings!$D$7=1),T36,IF(AND(settings!$D$4=1,settings!$D$7=0),S36,U36)))</f>
        <v>8646.5</v>
      </c>
    </row>
    <row r="37" spans="1:22">
      <c r="A37" t="str">
        <f>'Student Enrollment Data'!A39</f>
        <v>148</v>
      </c>
      <c r="B37">
        <f>'Student Enrollment Data'!B39</f>
        <v>148</v>
      </c>
      <c r="C37" t="str">
        <f>'Student Enrollment Data'!C39</f>
        <v>Grace Joint School District # 148</v>
      </c>
      <c r="D37">
        <v>0</v>
      </c>
      <c r="E37" s="37">
        <f>IF(settings!$G$4=0,'Student Enrollment Data'!BA39,'Student Enrollment Data'!CN39)</f>
        <v>271.5</v>
      </c>
      <c r="F37" s="37">
        <f>IF(settings!$G$4=0,'Student Enrollment Data'!BB39,'Student Enrollment Data'!CO39)</f>
        <v>231</v>
      </c>
      <c r="G37" s="37">
        <f t="shared" si="0"/>
        <v>1</v>
      </c>
      <c r="H37" s="37">
        <f t="shared" si="1"/>
        <v>1</v>
      </c>
      <c r="I37" s="37">
        <f t="shared" si="2"/>
        <v>1</v>
      </c>
      <c r="J37" s="39">
        <f t="shared" si="3"/>
        <v>1.1861363636363635</v>
      </c>
      <c r="K37" s="39">
        <f t="shared" si="4"/>
        <v>1.7712068965517243</v>
      </c>
      <c r="L37" s="39">
        <f t="shared" si="5"/>
        <v>1.093068181818182</v>
      </c>
      <c r="M37" s="39">
        <f t="shared" si="6"/>
        <v>1.6318103448275862</v>
      </c>
      <c r="N37" s="39">
        <f t="shared" si="7"/>
        <v>322.03602272727272</v>
      </c>
      <c r="O37" s="39">
        <f t="shared" si="8"/>
        <v>409.14879310344833</v>
      </c>
      <c r="P37" s="39">
        <f t="shared" si="9"/>
        <v>731.18481583072105</v>
      </c>
      <c r="Q37" s="39">
        <f t="shared" si="10"/>
        <v>296.76801136363639</v>
      </c>
      <c r="R37" s="39">
        <f t="shared" si="11"/>
        <v>376.94818965517243</v>
      </c>
      <c r="S37" s="40">
        <f t="shared" si="12"/>
        <v>673.71620101880876</v>
      </c>
      <c r="T37">
        <f t="shared" si="13"/>
        <v>731.18481583072105</v>
      </c>
      <c r="U37">
        <f t="shared" si="14"/>
        <v>673.71620101880876</v>
      </c>
      <c r="V37">
        <f>IF(AND(settings!$D$4=0,settings!$D$7=0),'Small Dist Weight'!P37,IF(AND(settings!$D$4=0,settings!$D$7=1),T37,IF(AND(settings!$D$4=1,settings!$D$7=0),S37,U37)))</f>
        <v>673.71620101880876</v>
      </c>
    </row>
    <row r="38" spans="1:22" s="30" customFormat="1">
      <c r="A38" s="30" t="str">
        <f>'Student Enrollment Data'!A40</f>
        <v>149</v>
      </c>
      <c r="B38" s="30">
        <f>'Student Enrollment Data'!B40</f>
        <v>149</v>
      </c>
      <c r="C38" s="30" t="str">
        <f>'Student Enrollment Data'!C40</f>
        <v>North Gem School District # 149</v>
      </c>
      <c r="D38" s="30">
        <v>0</v>
      </c>
      <c r="E38" s="164">
        <f>IF(settings!$G$4=0,'Student Enrollment Data'!BA40,'Student Enrollment Data'!CN40)</f>
        <v>76</v>
      </c>
      <c r="F38" s="164">
        <f>IF(settings!$G$4=0,'Student Enrollment Data'!BB40,'Student Enrollment Data'!CO40)</f>
        <v>100</v>
      </c>
      <c r="G38" s="164">
        <f t="shared" si="0"/>
        <v>1</v>
      </c>
      <c r="H38" s="164">
        <f t="shared" si="1"/>
        <v>1</v>
      </c>
      <c r="I38" s="164">
        <f t="shared" si="2"/>
        <v>1</v>
      </c>
      <c r="J38" s="165">
        <f t="shared" si="3"/>
        <v>1.8081818181818181</v>
      </c>
      <c r="K38" s="165">
        <f t="shared" si="4"/>
        <v>1.9293103448275861</v>
      </c>
      <c r="L38" s="165">
        <f t="shared" si="5"/>
        <v>1.6872727272727273</v>
      </c>
      <c r="M38" s="165">
        <f t="shared" si="6"/>
        <v>1.8689655172413793</v>
      </c>
      <c r="N38" s="165">
        <f t="shared" si="7"/>
        <v>137.42181818181817</v>
      </c>
      <c r="O38" s="165">
        <f t="shared" si="8"/>
        <v>192.93103448275861</v>
      </c>
      <c r="P38" s="165">
        <f t="shared" si="9"/>
        <v>330.35285266457674</v>
      </c>
      <c r="Q38" s="165">
        <f t="shared" si="10"/>
        <v>128.23272727272726</v>
      </c>
      <c r="R38" s="165">
        <f t="shared" si="11"/>
        <v>186.89655172413794</v>
      </c>
      <c r="S38" s="166">
        <f t="shared" si="12"/>
        <v>315.1292789968652</v>
      </c>
      <c r="T38" s="30">
        <f t="shared" si="13"/>
        <v>330.35285266457674</v>
      </c>
      <c r="U38" s="30">
        <f t="shared" si="14"/>
        <v>315.1292789968652</v>
      </c>
      <c r="V38" s="30">
        <f>IF(AND(settings!$D$4=0,settings!$D$7=0),'Small Dist Weight'!P38,IF(AND(settings!$D$4=0,settings!$D$7=1),T38,IF(AND(settings!$D$4=1,settings!$D$7=0),S38,U38)))</f>
        <v>315.1292789968652</v>
      </c>
    </row>
    <row r="39" spans="1:22">
      <c r="A39" t="str">
        <f>'Student Enrollment Data'!A41</f>
        <v>150</v>
      </c>
      <c r="B39">
        <f>'Student Enrollment Data'!B41</f>
        <v>150</v>
      </c>
      <c r="C39" t="str">
        <f>'Student Enrollment Data'!C41</f>
        <v>Soda Springs Joint School District # 150</v>
      </c>
      <c r="D39">
        <v>0</v>
      </c>
      <c r="E39" s="37">
        <f>IF(settings!$G$4=0,'Student Enrollment Data'!BA41,'Student Enrollment Data'!CN41)</f>
        <v>462</v>
      </c>
      <c r="F39" s="37">
        <f>IF(settings!$G$4=0,'Student Enrollment Data'!BB41,'Student Enrollment Data'!CO41)</f>
        <v>389</v>
      </c>
      <c r="G39" s="37">
        <f t="shared" si="0"/>
        <v>0</v>
      </c>
      <c r="H39" s="37">
        <f t="shared" si="1"/>
        <v>1</v>
      </c>
      <c r="I39" s="37">
        <f t="shared" si="2"/>
        <v>0</v>
      </c>
      <c r="J39" s="39" t="str">
        <f t="shared" si="3"/>
        <v/>
      </c>
      <c r="K39" s="39">
        <f t="shared" si="4"/>
        <v>1.5805172413793103</v>
      </c>
      <c r="L39" s="39">
        <f t="shared" si="5"/>
        <v>0</v>
      </c>
      <c r="M39" s="39">
        <f t="shared" si="6"/>
        <v>1.3457758620689655</v>
      </c>
      <c r="N39" s="39">
        <f t="shared" si="7"/>
        <v>462</v>
      </c>
      <c r="O39" s="39">
        <f t="shared" si="8"/>
        <v>614.82120689655164</v>
      </c>
      <c r="P39" s="39">
        <f t="shared" si="9"/>
        <v>1076.8212068965518</v>
      </c>
      <c r="Q39" s="39">
        <f t="shared" si="10"/>
        <v>462</v>
      </c>
      <c r="R39" s="39">
        <f t="shared" si="11"/>
        <v>523.50681034482761</v>
      </c>
      <c r="S39" s="40">
        <f t="shared" si="12"/>
        <v>985.50681034482761</v>
      </c>
      <c r="T39">
        <f t="shared" si="13"/>
        <v>1076.8212068965518</v>
      </c>
      <c r="U39">
        <f t="shared" si="14"/>
        <v>985.50681034482761</v>
      </c>
      <c r="V39">
        <f>IF(AND(settings!$D$4=0,settings!$D$7=0),'Small Dist Weight'!P39,IF(AND(settings!$D$4=0,settings!$D$7=1),T39,IF(AND(settings!$D$4=1,settings!$D$7=0),S39,U39)))</f>
        <v>985.50681034482761</v>
      </c>
    </row>
    <row r="40" spans="1:22">
      <c r="A40" t="str">
        <f>'Student Enrollment Data'!A42</f>
        <v>151</v>
      </c>
      <c r="B40">
        <f>'Student Enrollment Data'!B42</f>
        <v>151</v>
      </c>
      <c r="C40" t="str">
        <f>'Student Enrollment Data'!C42</f>
        <v>Cassia County Joint School District # 151</v>
      </c>
      <c r="D40">
        <v>0</v>
      </c>
      <c r="E40" s="37">
        <f>IF(settings!$G$4=0,'Student Enrollment Data'!BA42,'Student Enrollment Data'!CN42)</f>
        <v>2752</v>
      </c>
      <c r="F40" s="37">
        <f>IF(settings!$G$4=0,'Student Enrollment Data'!BB42,'Student Enrollment Data'!CO42)</f>
        <v>2464</v>
      </c>
      <c r="G40" s="37">
        <f t="shared" si="0"/>
        <v>0</v>
      </c>
      <c r="H40" s="37">
        <f t="shared" si="1"/>
        <v>0</v>
      </c>
      <c r="I40" s="37">
        <f t="shared" si="2"/>
        <v>0</v>
      </c>
      <c r="J40" s="39" t="str">
        <f t="shared" si="3"/>
        <v/>
      </c>
      <c r="K40" s="39" t="str">
        <f t="shared" si="4"/>
        <v/>
      </c>
      <c r="L40" s="39">
        <f t="shared" si="5"/>
        <v>0</v>
      </c>
      <c r="M40" s="39">
        <f t="shared" si="6"/>
        <v>0</v>
      </c>
      <c r="N40" s="39">
        <f t="shared" si="7"/>
        <v>2752</v>
      </c>
      <c r="O40" s="39">
        <f t="shared" si="8"/>
        <v>2464</v>
      </c>
      <c r="P40" s="39">
        <f t="shared" si="9"/>
        <v>5216</v>
      </c>
      <c r="Q40" s="39">
        <f t="shared" si="10"/>
        <v>2752</v>
      </c>
      <c r="R40" s="39">
        <f t="shared" si="11"/>
        <v>2464</v>
      </c>
      <c r="S40" s="40">
        <f t="shared" si="12"/>
        <v>5216</v>
      </c>
      <c r="T40">
        <f t="shared" si="13"/>
        <v>5216</v>
      </c>
      <c r="U40">
        <f t="shared" si="14"/>
        <v>5216</v>
      </c>
      <c r="V40">
        <f>IF(AND(settings!$D$4=0,settings!$D$7=0),'Small Dist Weight'!P40,IF(AND(settings!$D$4=0,settings!$D$7=1),T40,IF(AND(settings!$D$4=1,settings!$D$7=0),S40,U40)))</f>
        <v>5216</v>
      </c>
    </row>
    <row r="41" spans="1:22">
      <c r="A41" t="str">
        <f>'Student Enrollment Data'!A43</f>
        <v>161</v>
      </c>
      <c r="B41">
        <f>'Student Enrollment Data'!B43</f>
        <v>161</v>
      </c>
      <c r="C41" t="str">
        <f>'Student Enrollment Data'!C43</f>
        <v>Clark County Joint School District # 161</v>
      </c>
      <c r="D41">
        <v>0</v>
      </c>
      <c r="E41" s="37">
        <f>IF(settings!$G$4=0,'Student Enrollment Data'!BA43,'Student Enrollment Data'!CN43)</f>
        <v>54</v>
      </c>
      <c r="F41" s="37">
        <f>IF(settings!$G$4=0,'Student Enrollment Data'!BB43,'Student Enrollment Data'!CO43)</f>
        <v>100</v>
      </c>
      <c r="G41" s="37">
        <f t="shared" si="0"/>
        <v>1</v>
      </c>
      <c r="H41" s="37">
        <f t="shared" si="1"/>
        <v>1</v>
      </c>
      <c r="I41" s="37">
        <f t="shared" si="2"/>
        <v>1</v>
      </c>
      <c r="J41" s="39">
        <f t="shared" si="3"/>
        <v>1.8781818181818182</v>
      </c>
      <c r="K41" s="39">
        <f t="shared" si="4"/>
        <v>1.9293103448275861</v>
      </c>
      <c r="L41" s="39">
        <f t="shared" si="5"/>
        <v>1.7922727272727272</v>
      </c>
      <c r="M41" s="39">
        <f t="shared" si="6"/>
        <v>1.8689655172413793</v>
      </c>
      <c r="N41" s="39">
        <f t="shared" si="7"/>
        <v>101.42181818181818</v>
      </c>
      <c r="O41" s="39">
        <f t="shared" si="8"/>
        <v>192.93103448275861</v>
      </c>
      <c r="P41" s="39">
        <f t="shared" si="9"/>
        <v>294.3528526645768</v>
      </c>
      <c r="Q41" s="39">
        <f t="shared" si="10"/>
        <v>96.782727272727271</v>
      </c>
      <c r="R41" s="39">
        <f t="shared" si="11"/>
        <v>186.89655172413794</v>
      </c>
      <c r="S41" s="40">
        <f t="shared" si="12"/>
        <v>283.67927899686521</v>
      </c>
      <c r="T41">
        <f t="shared" si="13"/>
        <v>294.3528526645768</v>
      </c>
      <c r="U41">
        <f t="shared" si="14"/>
        <v>283.67927899686521</v>
      </c>
      <c r="V41">
        <f>IF(AND(settings!$D$4=0,settings!$D$7=0),'Small Dist Weight'!P41,IF(AND(settings!$D$4=0,settings!$D$7=1),T41,IF(AND(settings!$D$4=1,settings!$D$7=0),S41,U41)))</f>
        <v>283.67927899686521</v>
      </c>
    </row>
    <row r="42" spans="1:22">
      <c r="A42" t="str">
        <f>'Student Enrollment Data'!A44</f>
        <v>171</v>
      </c>
      <c r="B42">
        <f>'Student Enrollment Data'!B44</f>
        <v>171</v>
      </c>
      <c r="C42" t="str">
        <f>'Student Enrollment Data'!C44</f>
        <v>Orofino Joint School District # 171</v>
      </c>
      <c r="D42">
        <v>0</v>
      </c>
      <c r="E42" s="37">
        <f>IF(settings!$G$4=0,'Student Enrollment Data'!BA44,'Student Enrollment Data'!CN44)</f>
        <v>514</v>
      </c>
      <c r="F42" s="37">
        <f>IF(settings!$G$4=0,'Student Enrollment Data'!BB44,'Student Enrollment Data'!CO44)</f>
        <v>484</v>
      </c>
      <c r="G42" s="37">
        <f t="shared" si="0"/>
        <v>0</v>
      </c>
      <c r="H42" s="37">
        <f t="shared" si="1"/>
        <v>1</v>
      </c>
      <c r="I42" s="37">
        <f t="shared" si="2"/>
        <v>0</v>
      </c>
      <c r="J42" s="39" t="str">
        <f t="shared" si="3"/>
        <v/>
      </c>
      <c r="K42" s="39">
        <f t="shared" si="4"/>
        <v>1.4658620689655173</v>
      </c>
      <c r="L42" s="39">
        <f t="shared" si="5"/>
        <v>0</v>
      </c>
      <c r="M42" s="39">
        <f t="shared" si="6"/>
        <v>1.2329310344827586</v>
      </c>
      <c r="N42" s="39">
        <f t="shared" si="7"/>
        <v>514</v>
      </c>
      <c r="O42" s="39">
        <f t="shared" si="8"/>
        <v>709.47724137931039</v>
      </c>
      <c r="P42" s="39">
        <f t="shared" si="9"/>
        <v>1223.4772413793103</v>
      </c>
      <c r="Q42" s="39">
        <f t="shared" si="10"/>
        <v>514</v>
      </c>
      <c r="R42" s="39">
        <f t="shared" si="11"/>
        <v>596.73862068965514</v>
      </c>
      <c r="S42" s="40">
        <f t="shared" si="12"/>
        <v>1110.7386206896551</v>
      </c>
      <c r="T42">
        <f t="shared" si="13"/>
        <v>1223.4772413793103</v>
      </c>
      <c r="U42">
        <f t="shared" si="14"/>
        <v>1110.7386206896551</v>
      </c>
      <c r="V42">
        <f>IF(AND(settings!$D$4=0,settings!$D$7=0),'Small Dist Weight'!P42,IF(AND(settings!$D$4=0,settings!$D$7=1),T42,IF(AND(settings!$D$4=1,settings!$D$7=0),S42,U42)))</f>
        <v>1110.7386206896551</v>
      </c>
    </row>
    <row r="43" spans="1:22">
      <c r="A43" t="str">
        <f>'Student Enrollment Data'!A45</f>
        <v>181</v>
      </c>
      <c r="B43">
        <f>'Student Enrollment Data'!B45</f>
        <v>181</v>
      </c>
      <c r="C43" t="str">
        <f>'Student Enrollment Data'!C45</f>
        <v>Challis Joint School District # 181</v>
      </c>
      <c r="D43">
        <v>0</v>
      </c>
      <c r="E43" s="37">
        <f>IF(settings!$G$4=0,'Student Enrollment Data'!BA45,'Student Enrollment Data'!CN45)</f>
        <v>162.5</v>
      </c>
      <c r="F43" s="37">
        <f>IF(settings!$G$4=0,'Student Enrollment Data'!BB45,'Student Enrollment Data'!CO45)</f>
        <v>175</v>
      </c>
      <c r="G43" s="37">
        <f t="shared" si="0"/>
        <v>1</v>
      </c>
      <c r="H43" s="37">
        <f t="shared" si="1"/>
        <v>1</v>
      </c>
      <c r="I43" s="37">
        <f t="shared" si="2"/>
        <v>1</v>
      </c>
      <c r="J43" s="39">
        <f t="shared" si="3"/>
        <v>1.5329545454545455</v>
      </c>
      <c r="K43" s="39">
        <f t="shared" si="4"/>
        <v>1.8387931034482758</v>
      </c>
      <c r="L43" s="39">
        <f t="shared" si="5"/>
        <v>1.2744318181818182</v>
      </c>
      <c r="M43" s="39">
        <f t="shared" si="6"/>
        <v>1.7331896551724137</v>
      </c>
      <c r="N43" s="39">
        <f t="shared" si="7"/>
        <v>249.10511363636363</v>
      </c>
      <c r="O43" s="39">
        <f t="shared" si="8"/>
        <v>321.78879310344826</v>
      </c>
      <c r="P43" s="39">
        <f t="shared" si="9"/>
        <v>570.89390673981188</v>
      </c>
      <c r="Q43" s="39">
        <f t="shared" si="10"/>
        <v>207.09517045454544</v>
      </c>
      <c r="R43" s="39">
        <f t="shared" si="11"/>
        <v>303.30818965517238</v>
      </c>
      <c r="S43" s="40">
        <f t="shared" si="12"/>
        <v>510.40336010971782</v>
      </c>
      <c r="T43">
        <f t="shared" si="13"/>
        <v>570.89390673981188</v>
      </c>
      <c r="U43">
        <f t="shared" si="14"/>
        <v>510.40336010971782</v>
      </c>
      <c r="V43">
        <f>IF(AND(settings!$D$4=0,settings!$D$7=0),'Small Dist Weight'!P43,IF(AND(settings!$D$4=0,settings!$D$7=1),T43,IF(AND(settings!$D$4=1,settings!$D$7=0),S43,U43)))</f>
        <v>510.40336010971782</v>
      </c>
    </row>
    <row r="44" spans="1:22">
      <c r="A44" t="str">
        <f>'Student Enrollment Data'!A46</f>
        <v>182</v>
      </c>
      <c r="B44">
        <f>'Student Enrollment Data'!B46</f>
        <v>182</v>
      </c>
      <c r="C44" t="str">
        <f>'Student Enrollment Data'!C46</f>
        <v>Mackay Joint School District # 182</v>
      </c>
      <c r="D44">
        <v>0</v>
      </c>
      <c r="E44" s="37">
        <f>IF(settings!$G$4=0,'Student Enrollment Data'!BA46,'Student Enrollment Data'!CN46)</f>
        <v>115</v>
      </c>
      <c r="F44" s="37">
        <f>IF(settings!$G$4=0,'Student Enrollment Data'!BB46,'Student Enrollment Data'!CO46)</f>
        <v>100</v>
      </c>
      <c r="G44" s="37">
        <f t="shared" si="0"/>
        <v>1</v>
      </c>
      <c r="H44" s="37">
        <f t="shared" si="1"/>
        <v>1</v>
      </c>
      <c r="I44" s="37">
        <f t="shared" si="2"/>
        <v>1</v>
      </c>
      <c r="J44" s="39">
        <f t="shared" si="3"/>
        <v>1.6840909090909091</v>
      </c>
      <c r="K44" s="39">
        <f t="shared" si="4"/>
        <v>1.9293103448275861</v>
      </c>
      <c r="L44" s="39">
        <f t="shared" si="5"/>
        <v>1.5011363636363635</v>
      </c>
      <c r="M44" s="39">
        <f t="shared" si="6"/>
        <v>1.8689655172413793</v>
      </c>
      <c r="N44" s="39">
        <f t="shared" si="7"/>
        <v>193.67045454545453</v>
      </c>
      <c r="O44" s="39">
        <f t="shared" si="8"/>
        <v>192.93103448275861</v>
      </c>
      <c r="P44" s="39">
        <f t="shared" si="9"/>
        <v>386.60148902821311</v>
      </c>
      <c r="Q44" s="39">
        <f t="shared" si="10"/>
        <v>172.63068181818181</v>
      </c>
      <c r="R44" s="39">
        <f t="shared" si="11"/>
        <v>186.89655172413794</v>
      </c>
      <c r="S44" s="40">
        <f t="shared" si="12"/>
        <v>359.52723354231978</v>
      </c>
      <c r="T44">
        <f t="shared" si="13"/>
        <v>386.60148902821311</v>
      </c>
      <c r="U44">
        <f t="shared" si="14"/>
        <v>359.52723354231978</v>
      </c>
      <c r="V44">
        <f>IF(AND(settings!$D$4=0,settings!$D$7=0),'Small Dist Weight'!P44,IF(AND(settings!$D$4=0,settings!$D$7=1),T44,IF(AND(settings!$D$4=1,settings!$D$7=0),S44,U44)))</f>
        <v>359.52723354231978</v>
      </c>
    </row>
    <row r="45" spans="1:22">
      <c r="A45" t="str">
        <f>'Student Enrollment Data'!A47</f>
        <v>191</v>
      </c>
      <c r="B45">
        <f>'Student Enrollment Data'!B47</f>
        <v>191</v>
      </c>
      <c r="C45" t="str">
        <f>'Student Enrollment Data'!C47</f>
        <v>Prairie Elementary School District # 191</v>
      </c>
      <c r="D45">
        <v>0</v>
      </c>
      <c r="E45" s="37">
        <f>IF(settings!$G$4=0,'Student Enrollment Data'!BA47,'Student Enrollment Data'!CN47)</f>
        <v>2</v>
      </c>
      <c r="F45" s="37">
        <f>IF(settings!$G$4=0,'Student Enrollment Data'!BB47,'Student Enrollment Data'!CO47)</f>
        <v>0</v>
      </c>
      <c r="G45" s="37">
        <f t="shared" si="0"/>
        <v>1</v>
      </c>
      <c r="H45" s="37">
        <f t="shared" si="1"/>
        <v>1</v>
      </c>
      <c r="I45" s="37">
        <f t="shared" si="2"/>
        <v>1</v>
      </c>
      <c r="J45" s="39">
        <f t="shared" si="3"/>
        <v>2.0499999999999998</v>
      </c>
      <c r="K45" s="39">
        <f t="shared" si="4"/>
        <v>2.0499999999999998</v>
      </c>
      <c r="L45" s="39">
        <f t="shared" si="5"/>
        <v>2.0499999999999998</v>
      </c>
      <c r="M45" s="39">
        <f t="shared" si="6"/>
        <v>2.0499999999999998</v>
      </c>
      <c r="N45" s="39">
        <f t="shared" si="7"/>
        <v>4.0999999999999996</v>
      </c>
      <c r="O45" s="39">
        <f t="shared" si="8"/>
        <v>0</v>
      </c>
      <c r="P45" s="39">
        <f t="shared" si="9"/>
        <v>4.0999999999999996</v>
      </c>
      <c r="Q45" s="39">
        <f t="shared" si="10"/>
        <v>4.0999999999999996</v>
      </c>
      <c r="R45" s="39">
        <f t="shared" si="11"/>
        <v>0</v>
      </c>
      <c r="S45" s="40">
        <f t="shared" si="12"/>
        <v>4.0999999999999996</v>
      </c>
      <c r="T45">
        <f t="shared" si="13"/>
        <v>4.0999999999999996</v>
      </c>
      <c r="U45">
        <f t="shared" si="14"/>
        <v>4.0999999999999996</v>
      </c>
      <c r="V45">
        <f>IF(AND(settings!$D$4=0,settings!$D$7=0),'Small Dist Weight'!P45,IF(AND(settings!$D$4=0,settings!$D$7=1),T45,IF(AND(settings!$D$4=1,settings!$D$7=0),S45,U45)))</f>
        <v>4.0999999999999996</v>
      </c>
    </row>
    <row r="46" spans="1:22">
      <c r="A46" t="str">
        <f>'Student Enrollment Data'!A48</f>
        <v>192</v>
      </c>
      <c r="B46">
        <f>'Student Enrollment Data'!B48</f>
        <v>192</v>
      </c>
      <c r="C46" t="str">
        <f>'Student Enrollment Data'!C48</f>
        <v>Glenns Ferry Joint School District # 192</v>
      </c>
      <c r="D46">
        <v>0</v>
      </c>
      <c r="E46" s="37">
        <f>IF(settings!$G$4=0,'Student Enrollment Data'!BA48,'Student Enrollment Data'!CN48)</f>
        <v>199.5</v>
      </c>
      <c r="F46" s="37">
        <f>IF(settings!$G$4=0,'Student Enrollment Data'!BB48,'Student Enrollment Data'!CO48)</f>
        <v>184</v>
      </c>
      <c r="G46" s="37">
        <f t="shared" si="0"/>
        <v>1</v>
      </c>
      <c r="H46" s="37">
        <f t="shared" si="1"/>
        <v>1</v>
      </c>
      <c r="I46" s="37">
        <f t="shared" si="2"/>
        <v>1</v>
      </c>
      <c r="J46" s="39">
        <f t="shared" si="3"/>
        <v>1.4152272727272728</v>
      </c>
      <c r="K46" s="39">
        <f t="shared" si="4"/>
        <v>1.8279310344827586</v>
      </c>
      <c r="L46" s="39">
        <f t="shared" si="5"/>
        <v>1.2076136363636365</v>
      </c>
      <c r="M46" s="39">
        <f t="shared" si="6"/>
        <v>1.7168965517241379</v>
      </c>
      <c r="N46" s="39">
        <f t="shared" si="7"/>
        <v>282.33784090909091</v>
      </c>
      <c r="O46" s="39">
        <f t="shared" si="8"/>
        <v>336.3393103448276</v>
      </c>
      <c r="P46" s="39">
        <f t="shared" si="9"/>
        <v>618.67715125391851</v>
      </c>
      <c r="Q46" s="39">
        <f t="shared" si="10"/>
        <v>240.91892045454549</v>
      </c>
      <c r="R46" s="39">
        <f t="shared" si="11"/>
        <v>315.90896551724137</v>
      </c>
      <c r="S46" s="40">
        <f t="shared" si="12"/>
        <v>556.82788597178683</v>
      </c>
      <c r="T46">
        <f t="shared" si="13"/>
        <v>618.67715125391851</v>
      </c>
      <c r="U46">
        <f t="shared" si="14"/>
        <v>556.82788597178683</v>
      </c>
      <c r="V46">
        <f>IF(AND(settings!$D$4=0,settings!$D$7=0),'Small Dist Weight'!P46,IF(AND(settings!$D$4=0,settings!$D$7=1),T46,IF(AND(settings!$D$4=1,settings!$D$7=0),S46,U46)))</f>
        <v>556.82788597178683</v>
      </c>
    </row>
    <row r="47" spans="1:22">
      <c r="A47" t="str">
        <f>'Student Enrollment Data'!A49</f>
        <v>193</v>
      </c>
      <c r="B47">
        <f>'Student Enrollment Data'!B49</f>
        <v>193</v>
      </c>
      <c r="C47" t="str">
        <f>'Student Enrollment Data'!C49</f>
        <v>Mountain Home School District # 193</v>
      </c>
      <c r="D47">
        <v>0</v>
      </c>
      <c r="E47" s="37">
        <f>IF(settings!$G$4=0,'Student Enrollment Data'!BA49,'Student Enrollment Data'!CN49)</f>
        <v>2047.5</v>
      </c>
      <c r="F47" s="37">
        <f>IF(settings!$G$4=0,'Student Enrollment Data'!BB49,'Student Enrollment Data'!CO49)</f>
        <v>1690</v>
      </c>
      <c r="G47" s="37">
        <f t="shared" si="0"/>
        <v>0</v>
      </c>
      <c r="H47" s="37">
        <f t="shared" si="1"/>
        <v>0</v>
      </c>
      <c r="I47" s="37">
        <f t="shared" si="2"/>
        <v>0</v>
      </c>
      <c r="J47" s="39" t="str">
        <f t="shared" si="3"/>
        <v/>
      </c>
      <c r="K47" s="39" t="str">
        <f t="shared" si="4"/>
        <v/>
      </c>
      <c r="L47" s="39">
        <f t="shared" si="5"/>
        <v>0</v>
      </c>
      <c r="M47" s="39">
        <f t="shared" si="6"/>
        <v>0</v>
      </c>
      <c r="N47" s="39">
        <f t="shared" si="7"/>
        <v>2047.5</v>
      </c>
      <c r="O47" s="39">
        <f t="shared" si="8"/>
        <v>1690</v>
      </c>
      <c r="P47" s="39">
        <f t="shared" si="9"/>
        <v>3737.5</v>
      </c>
      <c r="Q47" s="39">
        <f t="shared" si="10"/>
        <v>2047.5</v>
      </c>
      <c r="R47" s="39">
        <f t="shared" si="11"/>
        <v>1690</v>
      </c>
      <c r="S47" s="40">
        <f t="shared" si="12"/>
        <v>3737.5</v>
      </c>
      <c r="T47">
        <f t="shared" si="13"/>
        <v>3737.5</v>
      </c>
      <c r="U47">
        <f t="shared" si="14"/>
        <v>3737.5</v>
      </c>
      <c r="V47">
        <f>IF(AND(settings!$D$4=0,settings!$D$7=0),'Small Dist Weight'!P47,IF(AND(settings!$D$4=0,settings!$D$7=1),T47,IF(AND(settings!$D$4=1,settings!$D$7=0),S47,U47)))</f>
        <v>3737.5</v>
      </c>
    </row>
    <row r="48" spans="1:22">
      <c r="A48" t="str">
        <f>'Student Enrollment Data'!A50</f>
        <v>201</v>
      </c>
      <c r="B48">
        <f>'Student Enrollment Data'!B50</f>
        <v>201</v>
      </c>
      <c r="C48" t="str">
        <f>'Student Enrollment Data'!C50</f>
        <v>Preston Joint School District # 201</v>
      </c>
      <c r="D48">
        <v>0</v>
      </c>
      <c r="E48" s="37">
        <f>IF(settings!$G$4=0,'Student Enrollment Data'!BA50,'Student Enrollment Data'!CN50)</f>
        <v>1104</v>
      </c>
      <c r="F48" s="37">
        <f>IF(settings!$G$4=0,'Student Enrollment Data'!BB50,'Student Enrollment Data'!CO50)</f>
        <v>1142</v>
      </c>
      <c r="G48" s="37">
        <f t="shared" si="0"/>
        <v>0</v>
      </c>
      <c r="H48" s="37">
        <f t="shared" si="1"/>
        <v>0</v>
      </c>
      <c r="I48" s="37">
        <f t="shared" si="2"/>
        <v>0</v>
      </c>
      <c r="J48" s="39" t="str">
        <f t="shared" si="3"/>
        <v/>
      </c>
      <c r="K48" s="39" t="str">
        <f t="shared" si="4"/>
        <v/>
      </c>
      <c r="L48" s="39">
        <f t="shared" si="5"/>
        <v>0</v>
      </c>
      <c r="M48" s="39">
        <f t="shared" si="6"/>
        <v>0</v>
      </c>
      <c r="N48" s="39">
        <f t="shared" si="7"/>
        <v>1104</v>
      </c>
      <c r="O48" s="39">
        <f t="shared" si="8"/>
        <v>1142</v>
      </c>
      <c r="P48" s="39">
        <f t="shared" si="9"/>
        <v>2246</v>
      </c>
      <c r="Q48" s="39">
        <f t="shared" si="10"/>
        <v>1104</v>
      </c>
      <c r="R48" s="39">
        <f t="shared" si="11"/>
        <v>1142</v>
      </c>
      <c r="S48" s="40">
        <f t="shared" si="12"/>
        <v>2246</v>
      </c>
      <c r="T48">
        <f t="shared" si="13"/>
        <v>2246</v>
      </c>
      <c r="U48">
        <f t="shared" si="14"/>
        <v>2246</v>
      </c>
      <c r="V48">
        <f>IF(AND(settings!$D$4=0,settings!$D$7=0),'Small Dist Weight'!P48,IF(AND(settings!$D$4=0,settings!$D$7=1),T48,IF(AND(settings!$D$4=1,settings!$D$7=0),S48,U48)))</f>
        <v>2246</v>
      </c>
    </row>
    <row r="49" spans="1:22">
      <c r="A49" t="str">
        <f>'Student Enrollment Data'!A51</f>
        <v>202</v>
      </c>
      <c r="B49">
        <f>'Student Enrollment Data'!B51</f>
        <v>202</v>
      </c>
      <c r="C49" t="str">
        <f>'Student Enrollment Data'!C51</f>
        <v>West Side Joint School District # 202</v>
      </c>
      <c r="D49">
        <v>0</v>
      </c>
      <c r="E49" s="37">
        <f>IF(settings!$G$4=0,'Student Enrollment Data'!BA51,'Student Enrollment Data'!CN51)</f>
        <v>400</v>
      </c>
      <c r="F49" s="37">
        <f>IF(settings!$G$4=0,'Student Enrollment Data'!BB51,'Student Enrollment Data'!CO51)</f>
        <v>321</v>
      </c>
      <c r="G49" s="37">
        <f t="shared" si="0"/>
        <v>0</v>
      </c>
      <c r="H49" s="37">
        <f t="shared" si="1"/>
        <v>1</v>
      </c>
      <c r="I49" s="37">
        <f t="shared" si="2"/>
        <v>0</v>
      </c>
      <c r="J49" s="39" t="str">
        <f t="shared" si="3"/>
        <v/>
      </c>
      <c r="K49" s="39">
        <f t="shared" si="4"/>
        <v>1.6625862068965518</v>
      </c>
      <c r="L49" s="39">
        <f t="shared" si="5"/>
        <v>0</v>
      </c>
      <c r="M49" s="39">
        <f t="shared" si="6"/>
        <v>1.4688793103448274</v>
      </c>
      <c r="N49" s="39">
        <f t="shared" si="7"/>
        <v>400</v>
      </c>
      <c r="O49" s="39">
        <f t="shared" si="8"/>
        <v>533.69017241379311</v>
      </c>
      <c r="P49" s="39">
        <f t="shared" si="9"/>
        <v>933.69017241379311</v>
      </c>
      <c r="Q49" s="39">
        <f t="shared" si="10"/>
        <v>400</v>
      </c>
      <c r="R49" s="39">
        <f t="shared" si="11"/>
        <v>471.51025862068963</v>
      </c>
      <c r="S49" s="40">
        <f t="shared" si="12"/>
        <v>871.51025862068968</v>
      </c>
      <c r="T49">
        <f t="shared" si="13"/>
        <v>933.69017241379311</v>
      </c>
      <c r="U49">
        <f t="shared" si="14"/>
        <v>871.51025862068968</v>
      </c>
      <c r="V49">
        <f>IF(AND(settings!$D$4=0,settings!$D$7=0),'Small Dist Weight'!P49,IF(AND(settings!$D$4=0,settings!$D$7=1),T49,IF(AND(settings!$D$4=1,settings!$D$7=0),S49,U49)))</f>
        <v>871.51025862068968</v>
      </c>
    </row>
    <row r="50" spans="1:22">
      <c r="A50" t="str">
        <f>'Student Enrollment Data'!A52</f>
        <v>215</v>
      </c>
      <c r="B50">
        <f>'Student Enrollment Data'!B52</f>
        <v>215</v>
      </c>
      <c r="C50" t="str">
        <f>'Student Enrollment Data'!C52</f>
        <v>Fremont County Joint School District # 215</v>
      </c>
      <c r="D50">
        <v>0</v>
      </c>
      <c r="E50" s="37">
        <f>IF(settings!$G$4=0,'Student Enrollment Data'!BA52,'Student Enrollment Data'!CN52)</f>
        <v>1087</v>
      </c>
      <c r="F50" s="37">
        <f>IF(settings!$G$4=0,'Student Enrollment Data'!BB52,'Student Enrollment Data'!CO52)</f>
        <v>1018</v>
      </c>
      <c r="G50" s="37">
        <f t="shared" si="0"/>
        <v>0</v>
      </c>
      <c r="H50" s="37">
        <f t="shared" si="1"/>
        <v>0</v>
      </c>
      <c r="I50" s="37">
        <f t="shared" si="2"/>
        <v>0</v>
      </c>
      <c r="J50" s="39" t="str">
        <f t="shared" si="3"/>
        <v/>
      </c>
      <c r="K50" s="39" t="str">
        <f t="shared" si="4"/>
        <v/>
      </c>
      <c r="L50" s="39">
        <f t="shared" si="5"/>
        <v>0</v>
      </c>
      <c r="M50" s="39">
        <f t="shared" si="6"/>
        <v>0</v>
      </c>
      <c r="N50" s="39">
        <f t="shared" si="7"/>
        <v>1087</v>
      </c>
      <c r="O50" s="39">
        <f t="shared" si="8"/>
        <v>1018</v>
      </c>
      <c r="P50" s="39">
        <f t="shared" si="9"/>
        <v>2105</v>
      </c>
      <c r="Q50" s="39">
        <f t="shared" si="10"/>
        <v>1087</v>
      </c>
      <c r="R50" s="39">
        <f t="shared" si="11"/>
        <v>1018</v>
      </c>
      <c r="S50" s="40">
        <f t="shared" si="12"/>
        <v>2105</v>
      </c>
      <c r="T50">
        <f t="shared" si="13"/>
        <v>2105</v>
      </c>
      <c r="U50">
        <f t="shared" si="14"/>
        <v>2105</v>
      </c>
      <c r="V50">
        <f>IF(AND(settings!$D$4=0,settings!$D$7=0),'Small Dist Weight'!P50,IF(AND(settings!$D$4=0,settings!$D$7=1),T50,IF(AND(settings!$D$4=1,settings!$D$7=0),S50,U50)))</f>
        <v>2105</v>
      </c>
    </row>
    <row r="51" spans="1:22">
      <c r="A51" t="str">
        <f>'Student Enrollment Data'!A53</f>
        <v>221</v>
      </c>
      <c r="B51">
        <f>'Student Enrollment Data'!B53</f>
        <v>221</v>
      </c>
      <c r="C51" t="str">
        <f>'Student Enrollment Data'!C53</f>
        <v>Emmett Independent School District # 221</v>
      </c>
      <c r="D51">
        <v>0</v>
      </c>
      <c r="E51" s="37">
        <f>IF(settings!$G$4=0,'Student Enrollment Data'!BA53,'Student Enrollment Data'!CN53)</f>
        <v>1314.5</v>
      </c>
      <c r="F51" s="37">
        <f>IF(settings!$G$4=0,'Student Enrollment Data'!BB53,'Student Enrollment Data'!CO53)</f>
        <v>1009</v>
      </c>
      <c r="G51" s="37">
        <f t="shared" si="0"/>
        <v>0</v>
      </c>
      <c r="H51" s="37">
        <f t="shared" si="1"/>
        <v>0</v>
      </c>
      <c r="I51" s="37">
        <f t="shared" si="2"/>
        <v>0</v>
      </c>
      <c r="J51" s="39" t="str">
        <f t="shared" si="3"/>
        <v/>
      </c>
      <c r="K51" s="39" t="str">
        <f t="shared" si="4"/>
        <v/>
      </c>
      <c r="L51" s="39">
        <f t="shared" si="5"/>
        <v>0</v>
      </c>
      <c r="M51" s="39">
        <f t="shared" si="6"/>
        <v>0</v>
      </c>
      <c r="N51" s="39">
        <f t="shared" si="7"/>
        <v>1314.5</v>
      </c>
      <c r="O51" s="39">
        <f t="shared" si="8"/>
        <v>1009</v>
      </c>
      <c r="P51" s="39">
        <f t="shared" si="9"/>
        <v>2323.5</v>
      </c>
      <c r="Q51" s="39">
        <f t="shared" si="10"/>
        <v>1314.5</v>
      </c>
      <c r="R51" s="39">
        <f t="shared" si="11"/>
        <v>1009</v>
      </c>
      <c r="S51" s="40">
        <f t="shared" si="12"/>
        <v>2323.5</v>
      </c>
      <c r="T51">
        <f t="shared" si="13"/>
        <v>2323.5</v>
      </c>
      <c r="U51">
        <f t="shared" si="14"/>
        <v>2323.5</v>
      </c>
      <c r="V51">
        <f>IF(AND(settings!$D$4=0,settings!$D$7=0),'Small Dist Weight'!P51,IF(AND(settings!$D$4=0,settings!$D$7=1),T51,IF(AND(settings!$D$4=1,settings!$D$7=0),S51,U51)))</f>
        <v>2323.5</v>
      </c>
    </row>
    <row r="52" spans="1:22">
      <c r="A52" t="str">
        <f>'Student Enrollment Data'!A54</f>
        <v>231</v>
      </c>
      <c r="B52">
        <f>'Student Enrollment Data'!B54</f>
        <v>231</v>
      </c>
      <c r="C52" t="str">
        <f>'Student Enrollment Data'!C54</f>
        <v>Gooding Joint School District # 231</v>
      </c>
      <c r="D52">
        <v>0</v>
      </c>
      <c r="E52" s="37">
        <f>IF(settings!$G$4=0,'Student Enrollment Data'!BA54,'Student Enrollment Data'!CN54)</f>
        <v>682.5</v>
      </c>
      <c r="F52" s="37">
        <f>IF(settings!$G$4=0,'Student Enrollment Data'!BB54,'Student Enrollment Data'!CO54)</f>
        <v>624</v>
      </c>
      <c r="G52" s="37">
        <f t="shared" si="0"/>
        <v>0</v>
      </c>
      <c r="H52" s="37">
        <f t="shared" si="1"/>
        <v>1</v>
      </c>
      <c r="I52" s="37">
        <f t="shared" si="2"/>
        <v>0</v>
      </c>
      <c r="J52" s="39" t="str">
        <f t="shared" si="3"/>
        <v/>
      </c>
      <c r="K52" s="39">
        <f t="shared" si="4"/>
        <v>1.296896551724138</v>
      </c>
      <c r="L52" s="39">
        <f t="shared" si="5"/>
        <v>0</v>
      </c>
      <c r="M52" s="39">
        <f t="shared" si="6"/>
        <v>1.1484482758620691</v>
      </c>
      <c r="N52" s="39">
        <f t="shared" si="7"/>
        <v>682.5</v>
      </c>
      <c r="O52" s="39">
        <f t="shared" si="8"/>
        <v>809.26344827586206</v>
      </c>
      <c r="P52" s="39">
        <f t="shared" si="9"/>
        <v>1491.7634482758622</v>
      </c>
      <c r="Q52" s="39">
        <f t="shared" si="10"/>
        <v>682.5</v>
      </c>
      <c r="R52" s="39">
        <f t="shared" si="11"/>
        <v>716.63172413793109</v>
      </c>
      <c r="S52" s="40">
        <f t="shared" si="12"/>
        <v>1399.1317241379311</v>
      </c>
      <c r="T52">
        <f t="shared" si="13"/>
        <v>1491.7634482758622</v>
      </c>
      <c r="U52">
        <f t="shared" si="14"/>
        <v>1399.1317241379311</v>
      </c>
      <c r="V52">
        <f>IF(AND(settings!$D$4=0,settings!$D$7=0),'Small Dist Weight'!P52,IF(AND(settings!$D$4=0,settings!$D$7=1),T52,IF(AND(settings!$D$4=1,settings!$D$7=0),S52,U52)))</f>
        <v>1399.1317241379311</v>
      </c>
    </row>
    <row r="53" spans="1:22">
      <c r="A53" t="str">
        <f>'Student Enrollment Data'!A55</f>
        <v>232</v>
      </c>
      <c r="B53">
        <f>'Student Enrollment Data'!B55</f>
        <v>232</v>
      </c>
      <c r="C53" t="str">
        <f>'Student Enrollment Data'!C55</f>
        <v>Wendell School District # 232</v>
      </c>
      <c r="D53">
        <v>0</v>
      </c>
      <c r="E53" s="37">
        <f>IF(settings!$G$4=0,'Student Enrollment Data'!BA55,'Student Enrollment Data'!CN55)</f>
        <v>551</v>
      </c>
      <c r="F53" s="37">
        <f>IF(settings!$G$4=0,'Student Enrollment Data'!BB55,'Student Enrollment Data'!CO55)</f>
        <v>472</v>
      </c>
      <c r="G53" s="37">
        <f t="shared" si="0"/>
        <v>0</v>
      </c>
      <c r="H53" s="37">
        <f t="shared" si="1"/>
        <v>1</v>
      </c>
      <c r="I53" s="37">
        <f t="shared" si="2"/>
        <v>0</v>
      </c>
      <c r="J53" s="39" t="str">
        <f t="shared" si="3"/>
        <v/>
      </c>
      <c r="K53" s="39">
        <f t="shared" si="4"/>
        <v>1.4803448275862068</v>
      </c>
      <c r="L53" s="39">
        <f t="shared" si="5"/>
        <v>0</v>
      </c>
      <c r="M53" s="39">
        <f t="shared" si="6"/>
        <v>1.2401724137931036</v>
      </c>
      <c r="N53" s="39">
        <f t="shared" si="7"/>
        <v>551</v>
      </c>
      <c r="O53" s="39">
        <f t="shared" si="8"/>
        <v>698.72275862068955</v>
      </c>
      <c r="P53" s="39">
        <f t="shared" si="9"/>
        <v>1249.7227586206895</v>
      </c>
      <c r="Q53" s="39">
        <f t="shared" si="10"/>
        <v>551</v>
      </c>
      <c r="R53" s="39">
        <f t="shared" si="11"/>
        <v>585.36137931034489</v>
      </c>
      <c r="S53" s="40">
        <f t="shared" si="12"/>
        <v>1136.361379310345</v>
      </c>
      <c r="T53">
        <f t="shared" si="13"/>
        <v>1249.7227586206895</v>
      </c>
      <c r="U53">
        <f t="shared" si="14"/>
        <v>1136.361379310345</v>
      </c>
      <c r="V53">
        <f>IF(AND(settings!$D$4=0,settings!$D$7=0),'Small Dist Weight'!P53,IF(AND(settings!$D$4=0,settings!$D$7=1),T53,IF(AND(settings!$D$4=1,settings!$D$7=0),S53,U53)))</f>
        <v>1136.361379310345</v>
      </c>
    </row>
    <row r="54" spans="1:22">
      <c r="A54" t="str">
        <f>'Student Enrollment Data'!A56</f>
        <v>233</v>
      </c>
      <c r="B54">
        <f>'Student Enrollment Data'!B56</f>
        <v>233</v>
      </c>
      <c r="C54" t="str">
        <f>'Student Enrollment Data'!C56</f>
        <v>Hagerman Joint School District # 233</v>
      </c>
      <c r="D54">
        <v>0</v>
      </c>
      <c r="E54" s="37">
        <f>IF(settings!$G$4=0,'Student Enrollment Data'!BA56,'Student Enrollment Data'!CN56)</f>
        <v>171.5</v>
      </c>
      <c r="F54" s="37">
        <f>IF(settings!$G$4=0,'Student Enrollment Data'!BB56,'Student Enrollment Data'!CO56)</f>
        <v>109</v>
      </c>
      <c r="G54" s="37">
        <f t="shared" si="0"/>
        <v>1</v>
      </c>
      <c r="H54" s="37">
        <f t="shared" si="1"/>
        <v>1</v>
      </c>
      <c r="I54" s="37">
        <f t="shared" si="2"/>
        <v>1</v>
      </c>
      <c r="J54" s="39">
        <f t="shared" si="3"/>
        <v>1.5043181818181819</v>
      </c>
      <c r="K54" s="39">
        <f t="shared" si="4"/>
        <v>1.9184482758620689</v>
      </c>
      <c r="L54" s="39">
        <f t="shared" si="5"/>
        <v>1.2521590909090912</v>
      </c>
      <c r="M54" s="39">
        <f t="shared" si="6"/>
        <v>1.8526724137931034</v>
      </c>
      <c r="N54" s="39">
        <f t="shared" si="7"/>
        <v>257.99056818181822</v>
      </c>
      <c r="O54" s="39">
        <f t="shared" si="8"/>
        <v>209.1108620689655</v>
      </c>
      <c r="P54" s="39">
        <f t="shared" si="9"/>
        <v>467.10143025078372</v>
      </c>
      <c r="Q54" s="39">
        <f t="shared" si="10"/>
        <v>214.74528409090914</v>
      </c>
      <c r="R54" s="39">
        <f t="shared" si="11"/>
        <v>201.94129310344829</v>
      </c>
      <c r="S54" s="40">
        <f t="shared" si="12"/>
        <v>416.68657719435743</v>
      </c>
      <c r="T54">
        <f t="shared" si="13"/>
        <v>467.10143025078372</v>
      </c>
      <c r="U54">
        <f t="shared" si="14"/>
        <v>416.68657719435743</v>
      </c>
      <c r="V54">
        <f>IF(AND(settings!$D$4=0,settings!$D$7=0),'Small Dist Weight'!P54,IF(AND(settings!$D$4=0,settings!$D$7=1),T54,IF(AND(settings!$D$4=1,settings!$D$7=0),S54,U54)))</f>
        <v>416.68657719435743</v>
      </c>
    </row>
    <row r="55" spans="1:22">
      <c r="A55" t="str">
        <f>'Student Enrollment Data'!A57</f>
        <v>234</v>
      </c>
      <c r="B55">
        <f>'Student Enrollment Data'!B57</f>
        <v>234</v>
      </c>
      <c r="C55" t="str">
        <f>'Student Enrollment Data'!C57</f>
        <v>Bliss Joint School District # 234</v>
      </c>
      <c r="D55">
        <v>0</v>
      </c>
      <c r="E55" s="37">
        <f>IF(settings!$G$4=0,'Student Enrollment Data'!BA57,'Student Enrollment Data'!CN57)</f>
        <v>75</v>
      </c>
      <c r="F55" s="37">
        <f>IF(settings!$G$4=0,'Student Enrollment Data'!BB57,'Student Enrollment Data'!CO57)</f>
        <v>100</v>
      </c>
      <c r="G55" s="37">
        <f t="shared" si="0"/>
        <v>1</v>
      </c>
      <c r="H55" s="37">
        <f t="shared" si="1"/>
        <v>1</v>
      </c>
      <c r="I55" s="37">
        <f t="shared" si="2"/>
        <v>1</v>
      </c>
      <c r="J55" s="39">
        <f t="shared" si="3"/>
        <v>1.8113636363636365</v>
      </c>
      <c r="K55" s="39">
        <f t="shared" si="4"/>
        <v>1.9293103448275861</v>
      </c>
      <c r="L55" s="39">
        <f t="shared" si="5"/>
        <v>1.6920454545454546</v>
      </c>
      <c r="M55" s="39">
        <f t="shared" si="6"/>
        <v>1.8689655172413793</v>
      </c>
      <c r="N55" s="39">
        <f t="shared" si="7"/>
        <v>135.85227272727275</v>
      </c>
      <c r="O55" s="39">
        <f t="shared" si="8"/>
        <v>192.93103448275861</v>
      </c>
      <c r="P55" s="39">
        <f t="shared" si="9"/>
        <v>328.78330721003135</v>
      </c>
      <c r="Q55" s="39">
        <f t="shared" si="10"/>
        <v>126.90340909090909</v>
      </c>
      <c r="R55" s="39">
        <f t="shared" si="11"/>
        <v>186.89655172413794</v>
      </c>
      <c r="S55" s="40">
        <f t="shared" si="12"/>
        <v>313.79996081504703</v>
      </c>
      <c r="T55">
        <f t="shared" si="13"/>
        <v>328.78330721003135</v>
      </c>
      <c r="U55">
        <f t="shared" si="14"/>
        <v>313.79996081504703</v>
      </c>
      <c r="V55">
        <f>IF(AND(settings!$D$4=0,settings!$D$7=0),'Small Dist Weight'!P55,IF(AND(settings!$D$4=0,settings!$D$7=1),T55,IF(AND(settings!$D$4=1,settings!$D$7=0),S55,U55)))</f>
        <v>313.79996081504703</v>
      </c>
    </row>
    <row r="56" spans="1:22">
      <c r="A56" t="str">
        <f>'Student Enrollment Data'!A58</f>
        <v>242</v>
      </c>
      <c r="B56">
        <f>'Student Enrollment Data'!B58</f>
        <v>242</v>
      </c>
      <c r="C56" t="str">
        <f>'Student Enrollment Data'!C58</f>
        <v>Cottonwood Joint School District # 242</v>
      </c>
      <c r="D56">
        <v>0</v>
      </c>
      <c r="E56" s="37">
        <f>IF(settings!$G$4=0,'Student Enrollment Data'!BA58,'Student Enrollment Data'!CN58)</f>
        <v>194</v>
      </c>
      <c r="F56" s="37">
        <f>IF(settings!$G$4=0,'Student Enrollment Data'!BB58,'Student Enrollment Data'!CO58)</f>
        <v>175</v>
      </c>
      <c r="G56" s="37">
        <f t="shared" si="0"/>
        <v>1</v>
      </c>
      <c r="H56" s="37">
        <f t="shared" si="1"/>
        <v>1</v>
      </c>
      <c r="I56" s="37">
        <f t="shared" si="2"/>
        <v>1</v>
      </c>
      <c r="J56" s="39">
        <f t="shared" si="3"/>
        <v>1.4327272727272726</v>
      </c>
      <c r="K56" s="39">
        <f t="shared" si="4"/>
        <v>1.8387931034482758</v>
      </c>
      <c r="L56" s="39">
        <f t="shared" si="5"/>
        <v>1.2163636363636365</v>
      </c>
      <c r="M56" s="39">
        <f t="shared" si="6"/>
        <v>1.7331896551724137</v>
      </c>
      <c r="N56" s="39">
        <f t="shared" si="7"/>
        <v>277.9490909090909</v>
      </c>
      <c r="O56" s="39">
        <f t="shared" si="8"/>
        <v>321.78879310344826</v>
      </c>
      <c r="P56" s="39">
        <f t="shared" si="9"/>
        <v>599.7378840125391</v>
      </c>
      <c r="Q56" s="39">
        <f t="shared" si="10"/>
        <v>235.97454545454548</v>
      </c>
      <c r="R56" s="39">
        <f t="shared" si="11"/>
        <v>303.30818965517238</v>
      </c>
      <c r="S56" s="40">
        <f t="shared" si="12"/>
        <v>539.28273510971781</v>
      </c>
      <c r="T56">
        <f t="shared" si="13"/>
        <v>599.7378840125391</v>
      </c>
      <c r="U56">
        <f t="shared" si="14"/>
        <v>539.28273510971781</v>
      </c>
      <c r="V56">
        <f>IF(AND(settings!$D$4=0,settings!$D$7=0),'Small Dist Weight'!P56,IF(AND(settings!$D$4=0,settings!$D$7=1),T56,IF(AND(settings!$D$4=1,settings!$D$7=0),S56,U56)))</f>
        <v>539.28273510971781</v>
      </c>
    </row>
    <row r="57" spans="1:22">
      <c r="A57" t="str">
        <f>'Student Enrollment Data'!A59</f>
        <v>243</v>
      </c>
      <c r="B57">
        <f>'Student Enrollment Data'!B59</f>
        <v>243</v>
      </c>
      <c r="C57" t="str">
        <f>'Student Enrollment Data'!C59</f>
        <v>Salmon River Joint School District # 243</v>
      </c>
      <c r="D57">
        <v>0</v>
      </c>
      <c r="E57" s="37">
        <f>IF(settings!$G$4=0,'Student Enrollment Data'!BA59,'Student Enrollment Data'!CN59)</f>
        <v>58.5</v>
      </c>
      <c r="F57" s="37">
        <f>IF(settings!$G$4=0,'Student Enrollment Data'!BB59,'Student Enrollment Data'!CO59)</f>
        <v>100</v>
      </c>
      <c r="G57" s="37">
        <f t="shared" si="0"/>
        <v>1</v>
      </c>
      <c r="H57" s="37">
        <f t="shared" si="1"/>
        <v>1</v>
      </c>
      <c r="I57" s="37">
        <f t="shared" si="2"/>
        <v>1</v>
      </c>
      <c r="J57" s="39">
        <f t="shared" si="3"/>
        <v>1.8638636363636363</v>
      </c>
      <c r="K57" s="39">
        <f t="shared" si="4"/>
        <v>1.9293103448275861</v>
      </c>
      <c r="L57" s="39">
        <f t="shared" si="5"/>
        <v>1.7707954545454545</v>
      </c>
      <c r="M57" s="39">
        <f t="shared" si="6"/>
        <v>1.8689655172413793</v>
      </c>
      <c r="N57" s="39">
        <f t="shared" si="7"/>
        <v>109.03602272727272</v>
      </c>
      <c r="O57" s="39">
        <f t="shared" si="8"/>
        <v>192.93103448275861</v>
      </c>
      <c r="P57" s="39">
        <f t="shared" si="9"/>
        <v>301.96705721003133</v>
      </c>
      <c r="Q57" s="39">
        <f t="shared" si="10"/>
        <v>103.59153409090909</v>
      </c>
      <c r="R57" s="39">
        <f t="shared" si="11"/>
        <v>186.89655172413794</v>
      </c>
      <c r="S57" s="40">
        <f t="shared" si="12"/>
        <v>290.48808581504704</v>
      </c>
      <c r="T57">
        <f t="shared" si="13"/>
        <v>301.96705721003133</v>
      </c>
      <c r="U57">
        <f t="shared" si="14"/>
        <v>290.48808581504704</v>
      </c>
      <c r="V57">
        <f>IF(AND(settings!$D$4=0,settings!$D$7=0),'Small Dist Weight'!P57,IF(AND(settings!$D$4=0,settings!$D$7=1),T57,IF(AND(settings!$D$4=1,settings!$D$7=0),S57,U57)))</f>
        <v>290.48808581504704</v>
      </c>
    </row>
    <row r="58" spans="1:22">
      <c r="A58" t="str">
        <f>'Student Enrollment Data'!A60</f>
        <v>244</v>
      </c>
      <c r="B58">
        <f>'Student Enrollment Data'!B60</f>
        <v>244</v>
      </c>
      <c r="C58" t="str">
        <f>'Student Enrollment Data'!C60</f>
        <v>Mountain View School District # 244</v>
      </c>
      <c r="D58">
        <v>0</v>
      </c>
      <c r="E58" s="37">
        <f>IF(settings!$G$4=0,'Student Enrollment Data'!BA60,'Student Enrollment Data'!CN60)</f>
        <v>627</v>
      </c>
      <c r="F58" s="37">
        <f>IF(settings!$G$4=0,'Student Enrollment Data'!BB60,'Student Enrollment Data'!CO60)</f>
        <v>573</v>
      </c>
      <c r="G58" s="37">
        <f t="shared" si="0"/>
        <v>0</v>
      </c>
      <c r="H58" s="37">
        <f t="shared" si="1"/>
        <v>1</v>
      </c>
      <c r="I58" s="37">
        <f t="shared" si="2"/>
        <v>0</v>
      </c>
      <c r="J58" s="39" t="str">
        <f t="shared" si="3"/>
        <v/>
      </c>
      <c r="K58" s="39">
        <f t="shared" si="4"/>
        <v>1.3584482758620688</v>
      </c>
      <c r="L58" s="39">
        <f t="shared" si="5"/>
        <v>0</v>
      </c>
      <c r="M58" s="39">
        <f t="shared" si="6"/>
        <v>1.1792241379310346</v>
      </c>
      <c r="N58" s="39">
        <f t="shared" si="7"/>
        <v>627</v>
      </c>
      <c r="O58" s="39">
        <f t="shared" si="8"/>
        <v>778.39086206896548</v>
      </c>
      <c r="P58" s="39">
        <f t="shared" si="9"/>
        <v>1405.3908620689654</v>
      </c>
      <c r="Q58" s="39">
        <f t="shared" si="10"/>
        <v>627</v>
      </c>
      <c r="R58" s="39">
        <f t="shared" si="11"/>
        <v>675.69543103448279</v>
      </c>
      <c r="S58" s="40">
        <f t="shared" si="12"/>
        <v>1302.6954310344827</v>
      </c>
      <c r="T58">
        <f t="shared" si="13"/>
        <v>1405.3908620689654</v>
      </c>
      <c r="U58">
        <f t="shared" si="14"/>
        <v>1302.6954310344827</v>
      </c>
      <c r="V58">
        <f>IF(AND(settings!$D$4=0,settings!$D$7=0),'Small Dist Weight'!P58,IF(AND(settings!$D$4=0,settings!$D$7=1),T58,IF(AND(settings!$D$4=1,settings!$D$7=0),S58,U58)))</f>
        <v>1302.6954310344827</v>
      </c>
    </row>
    <row r="59" spans="1:22">
      <c r="A59" t="str">
        <f>'Student Enrollment Data'!A61</f>
        <v>251</v>
      </c>
      <c r="B59">
        <f>'Student Enrollment Data'!B61</f>
        <v>251</v>
      </c>
      <c r="C59" t="str">
        <f>'Student Enrollment Data'!C61</f>
        <v>Jefferson County Joint School District # 251</v>
      </c>
      <c r="D59">
        <v>0</v>
      </c>
      <c r="E59" s="37">
        <f>IF(settings!$G$4=0,'Student Enrollment Data'!BA61,'Student Enrollment Data'!CN61)</f>
        <v>3190.5</v>
      </c>
      <c r="F59" s="37">
        <f>IF(settings!$G$4=0,'Student Enrollment Data'!BB61,'Student Enrollment Data'!CO61)</f>
        <v>2629</v>
      </c>
      <c r="G59" s="37">
        <f t="shared" si="0"/>
        <v>0</v>
      </c>
      <c r="H59" s="37">
        <f t="shared" si="1"/>
        <v>0</v>
      </c>
      <c r="I59" s="37">
        <f t="shared" si="2"/>
        <v>0</v>
      </c>
      <c r="J59" s="39" t="str">
        <f t="shared" si="3"/>
        <v/>
      </c>
      <c r="K59" s="39" t="str">
        <f t="shared" si="4"/>
        <v/>
      </c>
      <c r="L59" s="39">
        <f t="shared" si="5"/>
        <v>0</v>
      </c>
      <c r="M59" s="39">
        <f t="shared" si="6"/>
        <v>0</v>
      </c>
      <c r="N59" s="39">
        <f t="shared" si="7"/>
        <v>3190.5</v>
      </c>
      <c r="O59" s="39">
        <f t="shared" si="8"/>
        <v>2629</v>
      </c>
      <c r="P59" s="39">
        <f t="shared" si="9"/>
        <v>5819.5</v>
      </c>
      <c r="Q59" s="39">
        <f t="shared" si="10"/>
        <v>3190.5</v>
      </c>
      <c r="R59" s="39">
        <f t="shared" si="11"/>
        <v>2629</v>
      </c>
      <c r="S59" s="40">
        <f t="shared" si="12"/>
        <v>5819.5</v>
      </c>
      <c r="T59">
        <f t="shared" si="13"/>
        <v>5819.5</v>
      </c>
      <c r="U59">
        <f t="shared" si="14"/>
        <v>5819.5</v>
      </c>
      <c r="V59">
        <f>IF(AND(settings!$D$4=0,settings!$D$7=0),'Small Dist Weight'!P59,IF(AND(settings!$D$4=0,settings!$D$7=1),T59,IF(AND(settings!$D$4=1,settings!$D$7=0),S59,U59)))</f>
        <v>5819.5</v>
      </c>
    </row>
    <row r="60" spans="1:22">
      <c r="A60" t="str">
        <f>'Student Enrollment Data'!A62</f>
        <v>252</v>
      </c>
      <c r="B60">
        <f>'Student Enrollment Data'!B62</f>
        <v>252</v>
      </c>
      <c r="C60" t="str">
        <f>'Student Enrollment Data'!C62</f>
        <v>Ririe Joint School District # 252</v>
      </c>
      <c r="D60">
        <v>0</v>
      </c>
      <c r="E60" s="37">
        <f>IF(settings!$G$4=0,'Student Enrollment Data'!BA62,'Student Enrollment Data'!CN62)</f>
        <v>314.5</v>
      </c>
      <c r="F60" s="37">
        <f>IF(settings!$G$4=0,'Student Enrollment Data'!BB62,'Student Enrollment Data'!CO62)</f>
        <v>361</v>
      </c>
      <c r="G60" s="37">
        <f t="shared" si="0"/>
        <v>1</v>
      </c>
      <c r="H60" s="37">
        <f t="shared" si="1"/>
        <v>1</v>
      </c>
      <c r="I60" s="37">
        <f t="shared" si="2"/>
        <v>1</v>
      </c>
      <c r="J60" s="39">
        <f t="shared" si="3"/>
        <v>1.0493181818181818</v>
      </c>
      <c r="K60" s="39">
        <f t="shared" si="4"/>
        <v>1.6143103448275862</v>
      </c>
      <c r="L60" s="39">
        <f t="shared" si="5"/>
        <v>1.0246590909090911</v>
      </c>
      <c r="M60" s="39">
        <f t="shared" si="6"/>
        <v>1.3964655172413794</v>
      </c>
      <c r="N60" s="39">
        <f t="shared" si="7"/>
        <v>330.0105681818182</v>
      </c>
      <c r="O60" s="39">
        <f t="shared" si="8"/>
        <v>582.76603448275864</v>
      </c>
      <c r="P60" s="39">
        <f t="shared" si="9"/>
        <v>912.77660266457679</v>
      </c>
      <c r="Q60" s="39">
        <f t="shared" si="10"/>
        <v>322.25528409090919</v>
      </c>
      <c r="R60" s="39">
        <f t="shared" si="11"/>
        <v>504.12405172413793</v>
      </c>
      <c r="S60" s="40">
        <f t="shared" si="12"/>
        <v>826.37933581504717</v>
      </c>
      <c r="T60">
        <f t="shared" si="13"/>
        <v>912.77660266457679</v>
      </c>
      <c r="U60">
        <f t="shared" si="14"/>
        <v>826.37933581504717</v>
      </c>
      <c r="V60">
        <f>IF(AND(settings!$D$4=0,settings!$D$7=0),'Small Dist Weight'!P60,IF(AND(settings!$D$4=0,settings!$D$7=1),T60,IF(AND(settings!$D$4=1,settings!$D$7=0),S60,U60)))</f>
        <v>826.37933581504717</v>
      </c>
    </row>
    <row r="61" spans="1:22">
      <c r="A61" t="str">
        <f>'Student Enrollment Data'!A63</f>
        <v>253</v>
      </c>
      <c r="B61">
        <f>'Student Enrollment Data'!B63</f>
        <v>253</v>
      </c>
      <c r="C61" t="str">
        <f>'Student Enrollment Data'!C63</f>
        <v>West Jefferson School District # 253</v>
      </c>
      <c r="D61">
        <v>0</v>
      </c>
      <c r="E61" s="37">
        <f>IF(settings!$G$4=0,'Student Enrollment Data'!BA63,'Student Enrollment Data'!CN63)</f>
        <v>269</v>
      </c>
      <c r="F61" s="37">
        <f>IF(settings!$G$4=0,'Student Enrollment Data'!BB63,'Student Enrollment Data'!CO63)</f>
        <v>307</v>
      </c>
      <c r="G61" s="37">
        <f t="shared" si="0"/>
        <v>1</v>
      </c>
      <c r="H61" s="37">
        <f t="shared" si="1"/>
        <v>1</v>
      </c>
      <c r="I61" s="37">
        <f t="shared" si="2"/>
        <v>1</v>
      </c>
      <c r="J61" s="39">
        <f t="shared" si="3"/>
        <v>1.1940909090909091</v>
      </c>
      <c r="K61" s="39">
        <f t="shared" si="4"/>
        <v>1.6794827586206897</v>
      </c>
      <c r="L61" s="39">
        <f t="shared" si="5"/>
        <v>1.0970454545454547</v>
      </c>
      <c r="M61" s="39">
        <f t="shared" si="6"/>
        <v>1.4942241379310346</v>
      </c>
      <c r="N61" s="39">
        <f t="shared" si="7"/>
        <v>321.21045454545452</v>
      </c>
      <c r="O61" s="39">
        <f t="shared" si="8"/>
        <v>515.60120689655173</v>
      </c>
      <c r="P61" s="39">
        <f t="shared" si="9"/>
        <v>836.8116614420062</v>
      </c>
      <c r="Q61" s="39">
        <f t="shared" si="10"/>
        <v>295.10522727272729</v>
      </c>
      <c r="R61" s="39">
        <f t="shared" si="11"/>
        <v>458.72681034482764</v>
      </c>
      <c r="S61" s="40">
        <f t="shared" si="12"/>
        <v>753.83203761755499</v>
      </c>
      <c r="T61">
        <f t="shared" si="13"/>
        <v>836.8116614420062</v>
      </c>
      <c r="U61">
        <f t="shared" si="14"/>
        <v>753.83203761755499</v>
      </c>
      <c r="V61">
        <f>IF(AND(settings!$D$4=0,settings!$D$7=0),'Small Dist Weight'!P61,IF(AND(settings!$D$4=0,settings!$D$7=1),T61,IF(AND(settings!$D$4=1,settings!$D$7=0),S61,U61)))</f>
        <v>753.83203761755499</v>
      </c>
    </row>
    <row r="62" spans="1:22">
      <c r="A62" t="str">
        <f>'Student Enrollment Data'!A64</f>
        <v>261</v>
      </c>
      <c r="B62">
        <f>'Student Enrollment Data'!B64</f>
        <v>261</v>
      </c>
      <c r="C62" t="str">
        <f>'Student Enrollment Data'!C64</f>
        <v>Jerome Joint School District # 261</v>
      </c>
      <c r="D62">
        <v>0</v>
      </c>
      <c r="E62" s="37">
        <f>IF(settings!$G$4=0,'Student Enrollment Data'!BA64,'Student Enrollment Data'!CN64)</f>
        <v>2083.5</v>
      </c>
      <c r="F62" s="37">
        <f>IF(settings!$G$4=0,'Student Enrollment Data'!BB64,'Student Enrollment Data'!CO64)</f>
        <v>1791</v>
      </c>
      <c r="G62" s="37">
        <f t="shared" si="0"/>
        <v>0</v>
      </c>
      <c r="H62" s="37">
        <f t="shared" si="1"/>
        <v>0</v>
      </c>
      <c r="I62" s="37">
        <f t="shared" si="2"/>
        <v>0</v>
      </c>
      <c r="J62" s="39" t="str">
        <f t="shared" si="3"/>
        <v/>
      </c>
      <c r="K62" s="39" t="str">
        <f t="shared" si="4"/>
        <v/>
      </c>
      <c r="L62" s="39">
        <f t="shared" si="5"/>
        <v>0</v>
      </c>
      <c r="M62" s="39">
        <f t="shared" si="6"/>
        <v>0</v>
      </c>
      <c r="N62" s="39">
        <f t="shared" si="7"/>
        <v>2083.5</v>
      </c>
      <c r="O62" s="39">
        <f t="shared" si="8"/>
        <v>1791</v>
      </c>
      <c r="P62" s="39">
        <f t="shared" si="9"/>
        <v>3874.5</v>
      </c>
      <c r="Q62" s="39">
        <f t="shared" si="10"/>
        <v>2083.5</v>
      </c>
      <c r="R62" s="39">
        <f t="shared" si="11"/>
        <v>1791</v>
      </c>
      <c r="S62" s="40">
        <f t="shared" si="12"/>
        <v>3874.5</v>
      </c>
      <c r="T62">
        <f t="shared" si="13"/>
        <v>3874.5</v>
      </c>
      <c r="U62">
        <f t="shared" si="14"/>
        <v>3874.5</v>
      </c>
      <c r="V62">
        <f>IF(AND(settings!$D$4=0,settings!$D$7=0),'Small Dist Weight'!P62,IF(AND(settings!$D$4=0,settings!$D$7=1),T62,IF(AND(settings!$D$4=1,settings!$D$7=0),S62,U62)))</f>
        <v>3874.5</v>
      </c>
    </row>
    <row r="63" spans="1:22">
      <c r="A63" t="str">
        <f>'Student Enrollment Data'!A65</f>
        <v>262</v>
      </c>
      <c r="B63">
        <f>'Student Enrollment Data'!B65</f>
        <v>262</v>
      </c>
      <c r="C63" t="str">
        <f>'Student Enrollment Data'!C65</f>
        <v>Valley School District # 262</v>
      </c>
      <c r="D63">
        <v>0</v>
      </c>
      <c r="E63" s="37">
        <f>IF(settings!$G$4=0,'Student Enrollment Data'!BA65,'Student Enrollment Data'!CN65)</f>
        <v>304.5</v>
      </c>
      <c r="F63" s="37">
        <f>IF(settings!$G$4=0,'Student Enrollment Data'!BB65,'Student Enrollment Data'!CO65)</f>
        <v>270</v>
      </c>
      <c r="G63" s="37">
        <f t="shared" si="0"/>
        <v>1</v>
      </c>
      <c r="H63" s="37">
        <f t="shared" si="1"/>
        <v>1</v>
      </c>
      <c r="I63" s="37">
        <f t="shared" si="2"/>
        <v>1</v>
      </c>
      <c r="J63" s="39">
        <f t="shared" si="3"/>
        <v>1.0811363636363636</v>
      </c>
      <c r="K63" s="39">
        <f t="shared" si="4"/>
        <v>1.7241379310344827</v>
      </c>
      <c r="L63" s="39">
        <f t="shared" si="5"/>
        <v>1.040568181818182</v>
      </c>
      <c r="M63" s="39">
        <f t="shared" si="6"/>
        <v>1.5612068965517243</v>
      </c>
      <c r="N63" s="39">
        <f t="shared" si="7"/>
        <v>329.20602272727268</v>
      </c>
      <c r="O63" s="39">
        <f t="shared" si="8"/>
        <v>465.51724137931029</v>
      </c>
      <c r="P63" s="39">
        <f t="shared" si="9"/>
        <v>794.72326410658297</v>
      </c>
      <c r="Q63" s="39">
        <f t="shared" si="10"/>
        <v>316.85301136363643</v>
      </c>
      <c r="R63" s="39">
        <f t="shared" si="11"/>
        <v>421.52586206896558</v>
      </c>
      <c r="S63" s="40">
        <f t="shared" si="12"/>
        <v>738.37887343260195</v>
      </c>
      <c r="T63">
        <f t="shared" si="13"/>
        <v>794.72326410658297</v>
      </c>
      <c r="U63">
        <f t="shared" si="14"/>
        <v>738.37887343260195</v>
      </c>
      <c r="V63">
        <f>IF(AND(settings!$D$4=0,settings!$D$7=0),'Small Dist Weight'!P63,IF(AND(settings!$D$4=0,settings!$D$7=1),T63,IF(AND(settings!$D$4=1,settings!$D$7=0),S63,U63)))</f>
        <v>738.37887343260195</v>
      </c>
    </row>
    <row r="64" spans="1:22">
      <c r="A64" t="str">
        <f>'Student Enrollment Data'!A66</f>
        <v>271</v>
      </c>
      <c r="B64">
        <f>'Student Enrollment Data'!B66</f>
        <v>271</v>
      </c>
      <c r="C64" t="str">
        <f>'Student Enrollment Data'!C66</f>
        <v>Coeur d' Alene School District # 271</v>
      </c>
      <c r="D64">
        <v>0</v>
      </c>
      <c r="E64" s="37">
        <f>IF(settings!$G$4=0,'Student Enrollment Data'!BA66,'Student Enrollment Data'!CN66)</f>
        <v>5562</v>
      </c>
      <c r="F64" s="37">
        <f>IF(settings!$G$4=0,'Student Enrollment Data'!BB66,'Student Enrollment Data'!CO66)</f>
        <v>4818</v>
      </c>
      <c r="G64" s="37">
        <f t="shared" si="0"/>
        <v>0</v>
      </c>
      <c r="H64" s="37">
        <f t="shared" si="1"/>
        <v>0</v>
      </c>
      <c r="I64" s="37">
        <f t="shared" si="2"/>
        <v>0</v>
      </c>
      <c r="J64" s="39" t="str">
        <f t="shared" si="3"/>
        <v/>
      </c>
      <c r="K64" s="39" t="str">
        <f t="shared" si="4"/>
        <v/>
      </c>
      <c r="L64" s="39">
        <f t="shared" si="5"/>
        <v>0</v>
      </c>
      <c r="M64" s="39">
        <f t="shared" si="6"/>
        <v>0</v>
      </c>
      <c r="N64" s="39">
        <f t="shared" si="7"/>
        <v>5562</v>
      </c>
      <c r="O64" s="39">
        <f t="shared" si="8"/>
        <v>4818</v>
      </c>
      <c r="P64" s="39">
        <f t="shared" si="9"/>
        <v>10380</v>
      </c>
      <c r="Q64" s="39">
        <f t="shared" si="10"/>
        <v>5562</v>
      </c>
      <c r="R64" s="39">
        <f t="shared" si="11"/>
        <v>4818</v>
      </c>
      <c r="S64" s="40">
        <f t="shared" si="12"/>
        <v>10380</v>
      </c>
      <c r="T64">
        <f t="shared" si="13"/>
        <v>10380</v>
      </c>
      <c r="U64">
        <f t="shared" si="14"/>
        <v>10380</v>
      </c>
      <c r="V64">
        <f>IF(AND(settings!$D$4=0,settings!$D$7=0),'Small Dist Weight'!P64,IF(AND(settings!$D$4=0,settings!$D$7=1),T64,IF(AND(settings!$D$4=1,settings!$D$7=0),S64,U64)))</f>
        <v>10380</v>
      </c>
    </row>
    <row r="65" spans="1:22">
      <c r="A65" t="str">
        <f>'Student Enrollment Data'!A67</f>
        <v>272</v>
      </c>
      <c r="B65">
        <f>'Student Enrollment Data'!B67</f>
        <v>272</v>
      </c>
      <c r="C65" t="str">
        <f>'Student Enrollment Data'!C67</f>
        <v>Lakeland School District # 272</v>
      </c>
      <c r="D65">
        <v>0</v>
      </c>
      <c r="E65" s="37">
        <f>IF(settings!$G$4=0,'Student Enrollment Data'!BA67,'Student Enrollment Data'!CN67)</f>
        <v>2076</v>
      </c>
      <c r="F65" s="37">
        <f>IF(settings!$G$4=0,'Student Enrollment Data'!BB67,'Student Enrollment Data'!CO67)</f>
        <v>2211</v>
      </c>
      <c r="G65" s="37">
        <f t="shared" si="0"/>
        <v>0</v>
      </c>
      <c r="H65" s="37">
        <f t="shared" si="1"/>
        <v>0</v>
      </c>
      <c r="I65" s="37">
        <f t="shared" si="2"/>
        <v>0</v>
      </c>
      <c r="J65" s="39" t="str">
        <f t="shared" si="3"/>
        <v/>
      </c>
      <c r="K65" s="39" t="str">
        <f t="shared" si="4"/>
        <v/>
      </c>
      <c r="L65" s="39">
        <f t="shared" si="5"/>
        <v>0</v>
      </c>
      <c r="M65" s="39">
        <f t="shared" si="6"/>
        <v>0</v>
      </c>
      <c r="N65" s="39">
        <f t="shared" si="7"/>
        <v>2076</v>
      </c>
      <c r="O65" s="39">
        <f t="shared" si="8"/>
        <v>2211</v>
      </c>
      <c r="P65" s="39">
        <f t="shared" si="9"/>
        <v>4287</v>
      </c>
      <c r="Q65" s="39">
        <f t="shared" si="10"/>
        <v>2076</v>
      </c>
      <c r="R65" s="39">
        <f t="shared" si="11"/>
        <v>2211</v>
      </c>
      <c r="S65" s="40">
        <f t="shared" si="12"/>
        <v>4287</v>
      </c>
      <c r="T65">
        <f t="shared" si="13"/>
        <v>4287</v>
      </c>
      <c r="U65">
        <f t="shared" si="14"/>
        <v>4287</v>
      </c>
      <c r="V65">
        <f>IF(AND(settings!$D$4=0,settings!$D$7=0),'Small Dist Weight'!P65,IF(AND(settings!$D$4=0,settings!$D$7=1),T65,IF(AND(settings!$D$4=1,settings!$D$7=0),S65,U65)))</f>
        <v>4287</v>
      </c>
    </row>
    <row r="66" spans="1:22">
      <c r="A66" t="str">
        <f>'Student Enrollment Data'!A68</f>
        <v>273</v>
      </c>
      <c r="B66">
        <f>'Student Enrollment Data'!B68</f>
        <v>273</v>
      </c>
      <c r="C66" t="str">
        <f>'Student Enrollment Data'!C68</f>
        <v>Post Falls School District # 273</v>
      </c>
      <c r="D66">
        <v>0</v>
      </c>
      <c r="E66" s="37">
        <f>IF(settings!$G$4=0,'Student Enrollment Data'!BA68,'Student Enrollment Data'!CN68)</f>
        <v>3128.5</v>
      </c>
      <c r="F66" s="37">
        <f>IF(settings!$G$4=0,'Student Enrollment Data'!BB68,'Student Enrollment Data'!CO68)</f>
        <v>2661</v>
      </c>
      <c r="G66" s="37">
        <f t="shared" si="0"/>
        <v>0</v>
      </c>
      <c r="H66" s="37">
        <f t="shared" si="1"/>
        <v>0</v>
      </c>
      <c r="I66" s="37">
        <f t="shared" si="2"/>
        <v>0</v>
      </c>
      <c r="J66" s="39" t="str">
        <f t="shared" si="3"/>
        <v/>
      </c>
      <c r="K66" s="39" t="str">
        <f t="shared" si="4"/>
        <v/>
      </c>
      <c r="L66" s="39">
        <f t="shared" si="5"/>
        <v>0</v>
      </c>
      <c r="M66" s="39">
        <f t="shared" si="6"/>
        <v>0</v>
      </c>
      <c r="N66" s="39">
        <f t="shared" si="7"/>
        <v>3128.5</v>
      </c>
      <c r="O66" s="39">
        <f t="shared" si="8"/>
        <v>2661</v>
      </c>
      <c r="P66" s="39">
        <f t="shared" si="9"/>
        <v>5789.5</v>
      </c>
      <c r="Q66" s="39">
        <f t="shared" si="10"/>
        <v>3128.5</v>
      </c>
      <c r="R66" s="39">
        <f t="shared" si="11"/>
        <v>2661</v>
      </c>
      <c r="S66" s="40">
        <f t="shared" si="12"/>
        <v>5789.5</v>
      </c>
      <c r="T66">
        <f t="shared" si="13"/>
        <v>5789.5</v>
      </c>
      <c r="U66">
        <f t="shared" si="14"/>
        <v>5789.5</v>
      </c>
      <c r="V66">
        <f>IF(AND(settings!$D$4=0,settings!$D$7=0),'Small Dist Weight'!P66,IF(AND(settings!$D$4=0,settings!$D$7=1),T66,IF(AND(settings!$D$4=1,settings!$D$7=0),S66,U66)))</f>
        <v>5789.5</v>
      </c>
    </row>
    <row r="67" spans="1:22">
      <c r="A67" t="str">
        <f>'Student Enrollment Data'!A69</f>
        <v>274</v>
      </c>
      <c r="B67">
        <f>'Student Enrollment Data'!B69</f>
        <v>274</v>
      </c>
      <c r="C67" t="str">
        <f>'Student Enrollment Data'!C69</f>
        <v>Kootenai Joint School District # 274</v>
      </c>
      <c r="D67">
        <v>0</v>
      </c>
      <c r="E67" s="37">
        <f>IF(settings!$G$4=0,'Student Enrollment Data'!BA69,'Student Enrollment Data'!CN69)</f>
        <v>67.5</v>
      </c>
      <c r="F67" s="37">
        <f>IF(settings!$G$4=0,'Student Enrollment Data'!BB69,'Student Enrollment Data'!CO69)</f>
        <v>100</v>
      </c>
      <c r="G67" s="37">
        <f t="shared" ref="G67:G130" si="15">IF(E67&lt;$X$5,1,0)</f>
        <v>1</v>
      </c>
      <c r="H67" s="37">
        <f t="shared" ref="H67:H130" si="16">IF(F67&lt;$X$6,1,0)</f>
        <v>1</v>
      </c>
      <c r="I67" s="37">
        <f t="shared" ref="I67:I130" si="17">IF(SUM(G67:H67)=2,1,0)</f>
        <v>1</v>
      </c>
      <c r="J67" s="39">
        <f t="shared" ref="J67:J130" si="18">IF(E67&lt;=$AA$5,1+$Y$5,IF(G67=1,1+($Y$5-(E67*($Y$5/$X$5))),""))</f>
        <v>1.8352272727272727</v>
      </c>
      <c r="K67" s="39">
        <f t="shared" ref="K67:K130" si="19">IF(F67&lt;=$AA$6,1+$Y$6,IF(H67=1,1+($Y$6-(F67*($Y$6/$X$6))),""))</f>
        <v>1.9293103448275861</v>
      </c>
      <c r="L67" s="39">
        <f t="shared" ref="L67:L130" si="20">IF(E67&lt;=$AA$5,1+$Y$10,IF(AND(E67&gt;=$Z$10,E67&lt;$X$10),1-$AA$10+($AA$11-(E67*$AB$10)),IF(AND(E67&lt;$Z$11,E67&lt;$X$11),1+$AA$10+($AA$11-(E67*$AB$11)),0)))</f>
        <v>1.727840909090909</v>
      </c>
      <c r="M67" s="39">
        <f t="shared" ref="M67:M130" si="21">IF(F67&lt;+$AA$6,1+$Y$12,IF(AND(F67&gt;=$Z$12,F67&lt;$X$12),1-$AA$12+($AA$13-(F67*$AB$12)),IF(AND(F67&lt;$Z$13,F67&lt;$X$13),1+$AA$12+($AA$13-(F67*$AB$13)),0)))</f>
        <v>1.8689655172413793</v>
      </c>
      <c r="N67" s="39">
        <f t="shared" ref="N67:N130" si="22">IF(G67=1,J67*E67,E67)</f>
        <v>123.87784090909091</v>
      </c>
      <c r="O67" s="39">
        <f t="shared" ref="O67:O130" si="23">IF(H67=1,K67*F67,F67)</f>
        <v>192.93103448275861</v>
      </c>
      <c r="P67" s="39">
        <f t="shared" ref="P67:P130" si="24">SUM(N67:O67)</f>
        <v>316.80887539184948</v>
      </c>
      <c r="Q67" s="39">
        <f t="shared" ref="Q67:Q130" si="25">IF(G67=1,E67*L67,E67)</f>
        <v>116.62926136363636</v>
      </c>
      <c r="R67" s="39">
        <f t="shared" ref="R67:R130" si="26">IF(H67=1,F67*M67,F67)</f>
        <v>186.89655172413794</v>
      </c>
      <c r="S67" s="40">
        <f t="shared" ref="S67:S130" si="27">SUM(Q67:R67)</f>
        <v>303.52581308777428</v>
      </c>
      <c r="T67">
        <f t="shared" ref="T67:T130" si="28">IF(D67=0,P67,E67+F67)</f>
        <v>316.80887539184948</v>
      </c>
      <c r="U67">
        <f t="shared" ref="U67:U130" si="29">IF(D67=0,S67,E67+F67)</f>
        <v>303.52581308777428</v>
      </c>
      <c r="V67">
        <f>IF(AND(settings!$D$4=0,settings!$D$7=0),'Small Dist Weight'!P67,IF(AND(settings!$D$4=0,settings!$D$7=1),T67,IF(AND(settings!$D$4=1,settings!$D$7=0),S67,U67)))</f>
        <v>303.52581308777428</v>
      </c>
    </row>
    <row r="68" spans="1:22">
      <c r="A68" t="str">
        <f>'Student Enrollment Data'!A70</f>
        <v>281</v>
      </c>
      <c r="B68">
        <f>'Student Enrollment Data'!B70</f>
        <v>281</v>
      </c>
      <c r="C68" t="str">
        <f>'Student Enrollment Data'!C70</f>
        <v>Moscow School District # 281</v>
      </c>
      <c r="D68">
        <v>0</v>
      </c>
      <c r="E68" s="37">
        <f>IF(settings!$G$4=0,'Student Enrollment Data'!BA70,'Student Enrollment Data'!CN70)</f>
        <v>1098</v>
      </c>
      <c r="F68" s="37">
        <f>IF(settings!$G$4=0,'Student Enrollment Data'!BB70,'Student Enrollment Data'!CO70)</f>
        <v>1147</v>
      </c>
      <c r="G68" s="37">
        <f t="shared" si="15"/>
        <v>0</v>
      </c>
      <c r="H68" s="37">
        <f t="shared" si="16"/>
        <v>0</v>
      </c>
      <c r="I68" s="37">
        <f t="shared" si="17"/>
        <v>0</v>
      </c>
      <c r="J68" s="39" t="str">
        <f t="shared" si="18"/>
        <v/>
      </c>
      <c r="K68" s="39" t="str">
        <f t="shared" si="19"/>
        <v/>
      </c>
      <c r="L68" s="39">
        <f t="shared" si="20"/>
        <v>0</v>
      </c>
      <c r="M68" s="39">
        <f t="shared" si="21"/>
        <v>0</v>
      </c>
      <c r="N68" s="39">
        <f t="shared" si="22"/>
        <v>1098</v>
      </c>
      <c r="O68" s="39">
        <f t="shared" si="23"/>
        <v>1147</v>
      </c>
      <c r="P68" s="39">
        <f t="shared" si="24"/>
        <v>2245</v>
      </c>
      <c r="Q68" s="39">
        <f t="shared" si="25"/>
        <v>1098</v>
      </c>
      <c r="R68" s="39">
        <f t="shared" si="26"/>
        <v>1147</v>
      </c>
      <c r="S68" s="40">
        <f t="shared" si="27"/>
        <v>2245</v>
      </c>
      <c r="T68">
        <f t="shared" si="28"/>
        <v>2245</v>
      </c>
      <c r="U68">
        <f t="shared" si="29"/>
        <v>2245</v>
      </c>
      <c r="V68">
        <f>IF(AND(settings!$D$4=0,settings!$D$7=0),'Small Dist Weight'!P68,IF(AND(settings!$D$4=0,settings!$D$7=1),T68,IF(AND(settings!$D$4=1,settings!$D$7=0),S68,U68)))</f>
        <v>2245</v>
      </c>
    </row>
    <row r="69" spans="1:22">
      <c r="A69" t="str">
        <f>'Student Enrollment Data'!A71</f>
        <v>282</v>
      </c>
      <c r="B69">
        <f>'Student Enrollment Data'!B71</f>
        <v>282</v>
      </c>
      <c r="C69" t="str">
        <f>'Student Enrollment Data'!C71</f>
        <v>Genesee Joint School District # 282</v>
      </c>
      <c r="D69">
        <v>0</v>
      </c>
      <c r="E69" s="37">
        <f>IF(settings!$G$4=0,'Student Enrollment Data'!BA71,'Student Enrollment Data'!CN71)</f>
        <v>135</v>
      </c>
      <c r="F69" s="37">
        <f>IF(settings!$G$4=0,'Student Enrollment Data'!BB71,'Student Enrollment Data'!CO71)</f>
        <v>147</v>
      </c>
      <c r="G69" s="37">
        <f t="shared" si="15"/>
        <v>1</v>
      </c>
      <c r="H69" s="37">
        <f t="shared" si="16"/>
        <v>1</v>
      </c>
      <c r="I69" s="37">
        <f t="shared" si="17"/>
        <v>1</v>
      </c>
      <c r="J69" s="39">
        <f t="shared" si="18"/>
        <v>1.6204545454545456</v>
      </c>
      <c r="K69" s="39">
        <f t="shared" si="19"/>
        <v>1.8725862068965518</v>
      </c>
      <c r="L69" s="39">
        <f t="shared" si="20"/>
        <v>1.4056818181818183</v>
      </c>
      <c r="M69" s="39">
        <f t="shared" si="21"/>
        <v>1.7838793103448276</v>
      </c>
      <c r="N69" s="39">
        <f t="shared" si="22"/>
        <v>218.76136363636365</v>
      </c>
      <c r="O69" s="39">
        <f t="shared" si="23"/>
        <v>275.27017241379309</v>
      </c>
      <c r="P69" s="39">
        <f t="shared" si="24"/>
        <v>494.03153605015677</v>
      </c>
      <c r="Q69" s="39">
        <f t="shared" si="25"/>
        <v>189.76704545454547</v>
      </c>
      <c r="R69" s="39">
        <f t="shared" si="26"/>
        <v>262.23025862068965</v>
      </c>
      <c r="S69" s="40">
        <f t="shared" si="27"/>
        <v>451.99730407523509</v>
      </c>
      <c r="T69">
        <f t="shared" si="28"/>
        <v>494.03153605015677</v>
      </c>
      <c r="U69">
        <f t="shared" si="29"/>
        <v>451.99730407523509</v>
      </c>
      <c r="V69">
        <f>IF(AND(settings!$D$4=0,settings!$D$7=0),'Small Dist Weight'!P69,IF(AND(settings!$D$4=0,settings!$D$7=1),T69,IF(AND(settings!$D$4=1,settings!$D$7=0),S69,U69)))</f>
        <v>451.99730407523509</v>
      </c>
    </row>
    <row r="70" spans="1:22">
      <c r="A70" t="str">
        <f>'Student Enrollment Data'!A72</f>
        <v>283</v>
      </c>
      <c r="B70">
        <f>'Student Enrollment Data'!B72</f>
        <v>283</v>
      </c>
      <c r="C70" t="str">
        <f>'Student Enrollment Data'!C72</f>
        <v>Kendrick Joint School District # 283</v>
      </c>
      <c r="D70">
        <v>0</v>
      </c>
      <c r="E70" s="37">
        <f>IF(settings!$G$4=0,'Student Enrollment Data'!BA72,'Student Enrollment Data'!CN72)</f>
        <v>128</v>
      </c>
      <c r="F70" s="37">
        <f>IF(settings!$G$4=0,'Student Enrollment Data'!BB72,'Student Enrollment Data'!CO72)</f>
        <v>100</v>
      </c>
      <c r="G70" s="37">
        <f t="shared" si="15"/>
        <v>1</v>
      </c>
      <c r="H70" s="37">
        <f t="shared" si="16"/>
        <v>1</v>
      </c>
      <c r="I70" s="37">
        <f t="shared" si="17"/>
        <v>1</v>
      </c>
      <c r="J70" s="39">
        <f t="shared" si="18"/>
        <v>1.6427272727272728</v>
      </c>
      <c r="K70" s="39">
        <f t="shared" si="19"/>
        <v>1.9293103448275861</v>
      </c>
      <c r="L70" s="39">
        <f t="shared" si="20"/>
        <v>1.439090909090909</v>
      </c>
      <c r="M70" s="39">
        <f t="shared" si="21"/>
        <v>1.8689655172413793</v>
      </c>
      <c r="N70" s="39">
        <f t="shared" si="22"/>
        <v>210.26909090909092</v>
      </c>
      <c r="O70" s="39">
        <f t="shared" si="23"/>
        <v>192.93103448275861</v>
      </c>
      <c r="P70" s="39">
        <f t="shared" si="24"/>
        <v>403.2001253918495</v>
      </c>
      <c r="Q70" s="39">
        <f t="shared" si="25"/>
        <v>184.20363636363635</v>
      </c>
      <c r="R70" s="39">
        <f t="shared" si="26"/>
        <v>186.89655172413794</v>
      </c>
      <c r="S70" s="40">
        <f t="shared" si="27"/>
        <v>371.10018808777431</v>
      </c>
      <c r="T70">
        <f t="shared" si="28"/>
        <v>403.2001253918495</v>
      </c>
      <c r="U70">
        <f t="shared" si="29"/>
        <v>371.10018808777431</v>
      </c>
      <c r="V70">
        <f>IF(AND(settings!$D$4=0,settings!$D$7=0),'Small Dist Weight'!P70,IF(AND(settings!$D$4=0,settings!$D$7=1),T70,IF(AND(settings!$D$4=1,settings!$D$7=0),S70,U70)))</f>
        <v>371.10018808777431</v>
      </c>
    </row>
    <row r="71" spans="1:22">
      <c r="A71" t="str">
        <f>'Student Enrollment Data'!A73</f>
        <v>285</v>
      </c>
      <c r="B71">
        <f>'Student Enrollment Data'!B73</f>
        <v>285</v>
      </c>
      <c r="C71" t="str">
        <f>'Student Enrollment Data'!C73</f>
        <v>Potlatch School District # 285</v>
      </c>
      <c r="D71">
        <v>0</v>
      </c>
      <c r="E71" s="37">
        <f>IF(settings!$G$4=0,'Student Enrollment Data'!BA73,'Student Enrollment Data'!CN73)</f>
        <v>231.5</v>
      </c>
      <c r="F71" s="37">
        <f>IF(settings!$G$4=0,'Student Enrollment Data'!BB73,'Student Enrollment Data'!CO73)</f>
        <v>215</v>
      </c>
      <c r="G71" s="37">
        <f t="shared" si="15"/>
        <v>1</v>
      </c>
      <c r="H71" s="37">
        <f t="shared" si="16"/>
        <v>1</v>
      </c>
      <c r="I71" s="37">
        <f t="shared" si="17"/>
        <v>1</v>
      </c>
      <c r="J71" s="39">
        <f t="shared" si="18"/>
        <v>1.313409090909091</v>
      </c>
      <c r="K71" s="39">
        <f t="shared" si="19"/>
        <v>1.7905172413793105</v>
      </c>
      <c r="L71" s="39">
        <f t="shared" si="20"/>
        <v>1.1567045454545455</v>
      </c>
      <c r="M71" s="39">
        <f t="shared" si="21"/>
        <v>1.6607758620689657</v>
      </c>
      <c r="N71" s="39">
        <f t="shared" si="22"/>
        <v>304.05420454545458</v>
      </c>
      <c r="O71" s="39">
        <f t="shared" si="23"/>
        <v>384.96120689655174</v>
      </c>
      <c r="P71" s="39">
        <f t="shared" si="24"/>
        <v>689.01541144200633</v>
      </c>
      <c r="Q71" s="39">
        <f t="shared" si="25"/>
        <v>267.77710227272729</v>
      </c>
      <c r="R71" s="39">
        <f t="shared" si="26"/>
        <v>357.06681034482762</v>
      </c>
      <c r="S71" s="40">
        <f t="shared" si="27"/>
        <v>624.84391261755491</v>
      </c>
      <c r="T71">
        <f t="shared" si="28"/>
        <v>689.01541144200633</v>
      </c>
      <c r="U71">
        <f t="shared" si="29"/>
        <v>624.84391261755491</v>
      </c>
      <c r="V71">
        <f>IF(AND(settings!$D$4=0,settings!$D$7=0),'Small Dist Weight'!P71,IF(AND(settings!$D$4=0,settings!$D$7=1),T71,IF(AND(settings!$D$4=1,settings!$D$7=0),S71,U71)))</f>
        <v>624.84391261755491</v>
      </c>
    </row>
    <row r="72" spans="1:22">
      <c r="A72" t="str">
        <f>'Student Enrollment Data'!A74</f>
        <v>287</v>
      </c>
      <c r="B72">
        <f>'Student Enrollment Data'!B74</f>
        <v>287</v>
      </c>
      <c r="C72" t="str">
        <f>'Student Enrollment Data'!C74</f>
        <v>Troy  School District # 287</v>
      </c>
      <c r="D72">
        <v>0</v>
      </c>
      <c r="E72" s="37">
        <f>IF(settings!$G$4=0,'Student Enrollment Data'!BA74,'Student Enrollment Data'!CN74)</f>
        <v>130.5</v>
      </c>
      <c r="F72" s="37">
        <f>IF(settings!$G$4=0,'Student Enrollment Data'!BB74,'Student Enrollment Data'!CO74)</f>
        <v>131</v>
      </c>
      <c r="G72" s="37">
        <f t="shared" si="15"/>
        <v>1</v>
      </c>
      <c r="H72" s="37">
        <f t="shared" si="16"/>
        <v>1</v>
      </c>
      <c r="I72" s="37">
        <f t="shared" si="17"/>
        <v>1</v>
      </c>
      <c r="J72" s="39">
        <f t="shared" si="18"/>
        <v>1.6347727272727273</v>
      </c>
      <c r="K72" s="39">
        <f t="shared" si="19"/>
        <v>1.891896551724138</v>
      </c>
      <c r="L72" s="39">
        <f t="shared" si="20"/>
        <v>1.427159090909091</v>
      </c>
      <c r="M72" s="39">
        <f t="shared" si="21"/>
        <v>1.8128448275862068</v>
      </c>
      <c r="N72" s="39">
        <f t="shared" si="22"/>
        <v>213.33784090909091</v>
      </c>
      <c r="O72" s="39">
        <f t="shared" si="23"/>
        <v>247.83844827586208</v>
      </c>
      <c r="P72" s="39">
        <f t="shared" si="24"/>
        <v>461.17628918495302</v>
      </c>
      <c r="Q72" s="39">
        <f t="shared" si="25"/>
        <v>186.24426136363638</v>
      </c>
      <c r="R72" s="39">
        <f t="shared" si="26"/>
        <v>237.4826724137931</v>
      </c>
      <c r="S72" s="40">
        <f t="shared" si="27"/>
        <v>423.72693377742951</v>
      </c>
      <c r="T72">
        <f t="shared" si="28"/>
        <v>461.17628918495302</v>
      </c>
      <c r="U72">
        <f t="shared" si="29"/>
        <v>423.72693377742951</v>
      </c>
      <c r="V72">
        <f>IF(AND(settings!$D$4=0,settings!$D$7=0),'Small Dist Weight'!P72,IF(AND(settings!$D$4=0,settings!$D$7=1),T72,IF(AND(settings!$D$4=1,settings!$D$7=0),S72,U72)))</f>
        <v>423.72693377742951</v>
      </c>
    </row>
    <row r="73" spans="1:22">
      <c r="A73" t="str">
        <f>'Student Enrollment Data'!A75</f>
        <v>288</v>
      </c>
      <c r="B73">
        <f>'Student Enrollment Data'!B75</f>
        <v>288</v>
      </c>
      <c r="C73" t="str">
        <f>'Student Enrollment Data'!C75</f>
        <v>Whitepine Joint School District # 288</v>
      </c>
      <c r="D73">
        <v>0</v>
      </c>
      <c r="E73" s="37">
        <f>IF(settings!$G$4=0,'Student Enrollment Data'!BA75,'Student Enrollment Data'!CN75)</f>
        <v>115.5</v>
      </c>
      <c r="F73" s="37">
        <f>IF(settings!$G$4=0,'Student Enrollment Data'!BB75,'Student Enrollment Data'!CO75)</f>
        <v>117</v>
      </c>
      <c r="G73" s="37">
        <f t="shared" si="15"/>
        <v>1</v>
      </c>
      <c r="H73" s="37">
        <f t="shared" si="16"/>
        <v>1</v>
      </c>
      <c r="I73" s="37">
        <f t="shared" si="17"/>
        <v>1</v>
      </c>
      <c r="J73" s="39">
        <f t="shared" si="18"/>
        <v>1.6825000000000001</v>
      </c>
      <c r="K73" s="39">
        <f t="shared" si="19"/>
        <v>1.9087931034482759</v>
      </c>
      <c r="L73" s="39">
        <f t="shared" si="20"/>
        <v>1.49875</v>
      </c>
      <c r="M73" s="39">
        <f t="shared" si="21"/>
        <v>1.8381896551724139</v>
      </c>
      <c r="N73" s="39">
        <f t="shared" si="22"/>
        <v>194.32875000000001</v>
      </c>
      <c r="O73" s="39">
        <f t="shared" si="23"/>
        <v>223.32879310344828</v>
      </c>
      <c r="P73" s="39">
        <f t="shared" si="24"/>
        <v>417.65754310344829</v>
      </c>
      <c r="Q73" s="39">
        <f t="shared" si="25"/>
        <v>173.105625</v>
      </c>
      <c r="R73" s="39">
        <f t="shared" si="26"/>
        <v>215.06818965517243</v>
      </c>
      <c r="S73" s="40">
        <f t="shared" si="27"/>
        <v>388.17381465517246</v>
      </c>
      <c r="T73">
        <f t="shared" si="28"/>
        <v>417.65754310344829</v>
      </c>
      <c r="U73">
        <f t="shared" si="29"/>
        <v>388.17381465517246</v>
      </c>
      <c r="V73">
        <f>IF(AND(settings!$D$4=0,settings!$D$7=0),'Small Dist Weight'!P73,IF(AND(settings!$D$4=0,settings!$D$7=1),T73,IF(AND(settings!$D$4=1,settings!$D$7=0),S73,U73)))</f>
        <v>388.17381465517246</v>
      </c>
    </row>
    <row r="74" spans="1:22">
      <c r="A74" t="str">
        <f>'Student Enrollment Data'!A76</f>
        <v>291</v>
      </c>
      <c r="B74">
        <f>'Student Enrollment Data'!B76</f>
        <v>291</v>
      </c>
      <c r="C74" t="str">
        <f>'Student Enrollment Data'!C76</f>
        <v>Salmon School District # 291</v>
      </c>
      <c r="D74">
        <v>0</v>
      </c>
      <c r="E74" s="37">
        <f>IF(settings!$G$4=0,'Student Enrollment Data'!BA76,'Student Enrollment Data'!CN76)</f>
        <v>355.5</v>
      </c>
      <c r="F74" s="37">
        <f>IF(settings!$G$4=0,'Student Enrollment Data'!BB76,'Student Enrollment Data'!CO76)</f>
        <v>396</v>
      </c>
      <c r="G74" s="37">
        <f t="shared" si="15"/>
        <v>0</v>
      </c>
      <c r="H74" s="37">
        <f t="shared" si="16"/>
        <v>1</v>
      </c>
      <c r="I74" s="37">
        <f t="shared" si="17"/>
        <v>0</v>
      </c>
      <c r="J74" s="39" t="str">
        <f t="shared" si="18"/>
        <v/>
      </c>
      <c r="K74" s="39">
        <f t="shared" si="19"/>
        <v>1.5720689655172415</v>
      </c>
      <c r="L74" s="39">
        <f t="shared" si="20"/>
        <v>0</v>
      </c>
      <c r="M74" s="39">
        <f t="shared" si="21"/>
        <v>1.3331034482758621</v>
      </c>
      <c r="N74" s="39">
        <f t="shared" si="22"/>
        <v>355.5</v>
      </c>
      <c r="O74" s="39">
        <f t="shared" si="23"/>
        <v>622.53931034482764</v>
      </c>
      <c r="P74" s="39">
        <f t="shared" si="24"/>
        <v>978.03931034482764</v>
      </c>
      <c r="Q74" s="39">
        <f t="shared" si="25"/>
        <v>355.5</v>
      </c>
      <c r="R74" s="39">
        <f t="shared" si="26"/>
        <v>527.90896551724143</v>
      </c>
      <c r="S74" s="40">
        <f t="shared" si="27"/>
        <v>883.40896551724143</v>
      </c>
      <c r="T74">
        <f t="shared" si="28"/>
        <v>978.03931034482764</v>
      </c>
      <c r="U74">
        <f t="shared" si="29"/>
        <v>883.40896551724143</v>
      </c>
      <c r="V74">
        <f>IF(AND(settings!$D$4=0,settings!$D$7=0),'Small Dist Weight'!P74,IF(AND(settings!$D$4=0,settings!$D$7=1),T74,IF(AND(settings!$D$4=1,settings!$D$7=0),S74,U74)))</f>
        <v>883.40896551724143</v>
      </c>
    </row>
    <row r="75" spans="1:22">
      <c r="A75" t="str">
        <f>'Student Enrollment Data'!A77</f>
        <v>292</v>
      </c>
      <c r="B75">
        <f>'Student Enrollment Data'!B77</f>
        <v>292</v>
      </c>
      <c r="C75" t="str">
        <f>'Student Enrollment Data'!C77</f>
        <v>South Lemhi School District # 292</v>
      </c>
      <c r="D75">
        <v>0</v>
      </c>
      <c r="E75" s="37">
        <f>IF(settings!$G$4=0,'Student Enrollment Data'!BA77,'Student Enrollment Data'!CN77)</f>
        <v>65.5</v>
      </c>
      <c r="F75" s="37">
        <f>IF(settings!$G$4=0,'Student Enrollment Data'!BB77,'Student Enrollment Data'!CO77)</f>
        <v>100</v>
      </c>
      <c r="G75" s="37">
        <f t="shared" si="15"/>
        <v>1</v>
      </c>
      <c r="H75" s="37">
        <f t="shared" si="16"/>
        <v>1</v>
      </c>
      <c r="I75" s="37">
        <f t="shared" si="17"/>
        <v>1</v>
      </c>
      <c r="J75" s="39">
        <f t="shared" si="18"/>
        <v>1.8415909090909093</v>
      </c>
      <c r="K75" s="39">
        <f t="shared" si="19"/>
        <v>1.9293103448275861</v>
      </c>
      <c r="L75" s="39">
        <f t="shared" si="20"/>
        <v>1.7373863636363636</v>
      </c>
      <c r="M75" s="39">
        <f t="shared" si="21"/>
        <v>1.8689655172413793</v>
      </c>
      <c r="N75" s="39">
        <f t="shared" si="22"/>
        <v>120.62420454545456</v>
      </c>
      <c r="O75" s="39">
        <f t="shared" si="23"/>
        <v>192.93103448275861</v>
      </c>
      <c r="P75" s="39">
        <f t="shared" si="24"/>
        <v>313.55523902821318</v>
      </c>
      <c r="Q75" s="39">
        <f t="shared" si="25"/>
        <v>113.79880681818182</v>
      </c>
      <c r="R75" s="39">
        <f t="shared" si="26"/>
        <v>186.89655172413794</v>
      </c>
      <c r="S75" s="40">
        <f t="shared" si="27"/>
        <v>300.69535854231975</v>
      </c>
      <c r="T75">
        <f t="shared" si="28"/>
        <v>313.55523902821318</v>
      </c>
      <c r="U75">
        <f t="shared" si="29"/>
        <v>300.69535854231975</v>
      </c>
      <c r="V75">
        <f>IF(AND(settings!$D$4=0,settings!$D$7=0),'Small Dist Weight'!P75,IF(AND(settings!$D$4=0,settings!$D$7=1),T75,IF(AND(settings!$D$4=1,settings!$D$7=0),S75,U75)))</f>
        <v>300.69535854231975</v>
      </c>
    </row>
    <row r="76" spans="1:22">
      <c r="A76" t="str">
        <f>'Student Enrollment Data'!A78</f>
        <v>302</v>
      </c>
      <c r="B76">
        <f>'Student Enrollment Data'!B78</f>
        <v>302</v>
      </c>
      <c r="C76" t="str">
        <f>'Student Enrollment Data'!C78</f>
        <v>Nezperce Joint School District # 302</v>
      </c>
      <c r="D76">
        <v>0</v>
      </c>
      <c r="E76" s="37">
        <f>IF(settings!$G$4=0,'Student Enrollment Data'!BA78,'Student Enrollment Data'!CN78)</f>
        <v>73</v>
      </c>
      <c r="F76" s="37">
        <f>IF(settings!$G$4=0,'Student Enrollment Data'!BB78,'Student Enrollment Data'!CO78)</f>
        <v>100</v>
      </c>
      <c r="G76" s="37">
        <f t="shared" si="15"/>
        <v>1</v>
      </c>
      <c r="H76" s="37">
        <f t="shared" si="16"/>
        <v>1</v>
      </c>
      <c r="I76" s="37">
        <f t="shared" si="17"/>
        <v>1</v>
      </c>
      <c r="J76" s="39">
        <f t="shared" si="18"/>
        <v>1.8177272727272729</v>
      </c>
      <c r="K76" s="39">
        <f t="shared" si="19"/>
        <v>1.9293103448275861</v>
      </c>
      <c r="L76" s="39">
        <f t="shared" si="20"/>
        <v>1.7015909090909092</v>
      </c>
      <c r="M76" s="39">
        <f t="shared" si="21"/>
        <v>1.8689655172413793</v>
      </c>
      <c r="N76" s="39">
        <f t="shared" si="22"/>
        <v>132.69409090909093</v>
      </c>
      <c r="O76" s="39">
        <f t="shared" si="23"/>
        <v>192.93103448275861</v>
      </c>
      <c r="P76" s="39">
        <f t="shared" si="24"/>
        <v>325.62512539184956</v>
      </c>
      <c r="Q76" s="39">
        <f t="shared" si="25"/>
        <v>124.21613636363637</v>
      </c>
      <c r="R76" s="39">
        <f t="shared" si="26"/>
        <v>186.89655172413794</v>
      </c>
      <c r="S76" s="40">
        <f t="shared" si="27"/>
        <v>311.1126880877743</v>
      </c>
      <c r="T76">
        <f t="shared" si="28"/>
        <v>325.62512539184956</v>
      </c>
      <c r="U76">
        <f t="shared" si="29"/>
        <v>311.1126880877743</v>
      </c>
      <c r="V76">
        <f>IF(AND(settings!$D$4=0,settings!$D$7=0),'Small Dist Weight'!P76,IF(AND(settings!$D$4=0,settings!$D$7=1),T76,IF(AND(settings!$D$4=1,settings!$D$7=0),S76,U76)))</f>
        <v>311.1126880877743</v>
      </c>
    </row>
    <row r="77" spans="1:22">
      <c r="A77" t="str">
        <f>'Student Enrollment Data'!A79</f>
        <v>304</v>
      </c>
      <c r="B77">
        <f>'Student Enrollment Data'!B79</f>
        <v>304</v>
      </c>
      <c r="C77" t="str">
        <f>'Student Enrollment Data'!C79</f>
        <v>Kamiah Joint School District # 304</v>
      </c>
      <c r="D77">
        <v>0</v>
      </c>
      <c r="E77" s="37">
        <f>IF(settings!$G$4=0,'Student Enrollment Data'!BA79,'Student Enrollment Data'!CN79)</f>
        <v>186</v>
      </c>
      <c r="F77" s="37">
        <f>IF(settings!$G$4=0,'Student Enrollment Data'!BB79,'Student Enrollment Data'!CO79)</f>
        <v>221</v>
      </c>
      <c r="G77" s="37">
        <f t="shared" si="15"/>
        <v>1</v>
      </c>
      <c r="H77" s="37">
        <f t="shared" si="16"/>
        <v>1</v>
      </c>
      <c r="I77" s="37">
        <f t="shared" si="17"/>
        <v>1</v>
      </c>
      <c r="J77" s="39">
        <f t="shared" si="18"/>
        <v>1.4581818181818182</v>
      </c>
      <c r="K77" s="39">
        <f t="shared" si="19"/>
        <v>1.7832758620689655</v>
      </c>
      <c r="L77" s="39">
        <f t="shared" si="20"/>
        <v>1.2290909090909092</v>
      </c>
      <c r="M77" s="39">
        <f t="shared" si="21"/>
        <v>1.6499137931034484</v>
      </c>
      <c r="N77" s="39">
        <f t="shared" si="22"/>
        <v>271.22181818181821</v>
      </c>
      <c r="O77" s="39">
        <f t="shared" si="23"/>
        <v>394.10396551724136</v>
      </c>
      <c r="P77" s="39">
        <f t="shared" si="24"/>
        <v>665.32578369905957</v>
      </c>
      <c r="Q77" s="39">
        <f t="shared" si="25"/>
        <v>228.6109090909091</v>
      </c>
      <c r="R77" s="39">
        <f t="shared" si="26"/>
        <v>364.63094827586212</v>
      </c>
      <c r="S77" s="40">
        <f t="shared" si="27"/>
        <v>593.24185736677123</v>
      </c>
      <c r="T77">
        <f t="shared" si="28"/>
        <v>665.32578369905957</v>
      </c>
      <c r="U77">
        <f t="shared" si="29"/>
        <v>593.24185736677123</v>
      </c>
      <c r="V77">
        <f>IF(AND(settings!$D$4=0,settings!$D$7=0),'Small Dist Weight'!P77,IF(AND(settings!$D$4=0,settings!$D$7=1),T77,IF(AND(settings!$D$4=1,settings!$D$7=0),S77,U77)))</f>
        <v>593.24185736677123</v>
      </c>
    </row>
    <row r="78" spans="1:22">
      <c r="A78" t="str">
        <f>'Student Enrollment Data'!A80</f>
        <v>305</v>
      </c>
      <c r="B78">
        <f>'Student Enrollment Data'!B80</f>
        <v>305</v>
      </c>
      <c r="C78" t="str">
        <f>'Student Enrollment Data'!C80</f>
        <v>Highland Joint School District # 305</v>
      </c>
      <c r="D78">
        <v>0</v>
      </c>
      <c r="E78" s="37">
        <f>IF(settings!$G$4=0,'Student Enrollment Data'!BA80,'Student Enrollment Data'!CN80)</f>
        <v>84</v>
      </c>
      <c r="F78" s="37">
        <f>IF(settings!$G$4=0,'Student Enrollment Data'!BB80,'Student Enrollment Data'!CO80)</f>
        <v>100</v>
      </c>
      <c r="G78" s="37">
        <f t="shared" si="15"/>
        <v>1</v>
      </c>
      <c r="H78" s="37">
        <f t="shared" si="16"/>
        <v>1</v>
      </c>
      <c r="I78" s="37">
        <f t="shared" si="17"/>
        <v>1</v>
      </c>
      <c r="J78" s="39">
        <f t="shared" si="18"/>
        <v>1.7827272727272727</v>
      </c>
      <c r="K78" s="39">
        <f t="shared" si="19"/>
        <v>1.9293103448275861</v>
      </c>
      <c r="L78" s="39">
        <f t="shared" si="20"/>
        <v>1.6490909090909092</v>
      </c>
      <c r="M78" s="39">
        <f t="shared" si="21"/>
        <v>1.8689655172413793</v>
      </c>
      <c r="N78" s="39">
        <f t="shared" si="22"/>
        <v>149.74909090909091</v>
      </c>
      <c r="O78" s="39">
        <f t="shared" si="23"/>
        <v>192.93103448275861</v>
      </c>
      <c r="P78" s="39">
        <f t="shared" si="24"/>
        <v>342.68012539184951</v>
      </c>
      <c r="Q78" s="39">
        <f t="shared" si="25"/>
        <v>138.52363636363637</v>
      </c>
      <c r="R78" s="39">
        <f t="shared" si="26"/>
        <v>186.89655172413794</v>
      </c>
      <c r="S78" s="40">
        <f t="shared" si="27"/>
        <v>325.42018808777431</v>
      </c>
      <c r="T78">
        <f t="shared" si="28"/>
        <v>342.68012539184951</v>
      </c>
      <c r="U78">
        <f t="shared" si="29"/>
        <v>325.42018808777431</v>
      </c>
      <c r="V78">
        <f>IF(AND(settings!$D$4=0,settings!$D$7=0),'Small Dist Weight'!P78,IF(AND(settings!$D$4=0,settings!$D$7=1),T78,IF(AND(settings!$D$4=1,settings!$D$7=0),S78,U78)))</f>
        <v>325.42018808777431</v>
      </c>
    </row>
    <row r="79" spans="1:22">
      <c r="A79" t="str">
        <f>'Student Enrollment Data'!A81</f>
        <v>312</v>
      </c>
      <c r="B79">
        <f>'Student Enrollment Data'!B81</f>
        <v>312</v>
      </c>
      <c r="C79" t="str">
        <f>'Student Enrollment Data'!C81</f>
        <v>Shoshone Joint School District # 312</v>
      </c>
      <c r="D79">
        <v>0</v>
      </c>
      <c r="E79" s="37">
        <f>IF(settings!$G$4=0,'Student Enrollment Data'!BA81,'Student Enrollment Data'!CN81)</f>
        <v>249.5</v>
      </c>
      <c r="F79" s="37">
        <f>IF(settings!$G$4=0,'Student Enrollment Data'!BB81,'Student Enrollment Data'!CO81)</f>
        <v>229</v>
      </c>
      <c r="G79" s="37">
        <f t="shared" si="15"/>
        <v>1</v>
      </c>
      <c r="H79" s="37">
        <f t="shared" si="16"/>
        <v>1</v>
      </c>
      <c r="I79" s="37">
        <f t="shared" si="17"/>
        <v>1</v>
      </c>
      <c r="J79" s="39">
        <f t="shared" si="18"/>
        <v>1.2561363636363636</v>
      </c>
      <c r="K79" s="39">
        <f t="shared" si="19"/>
        <v>1.7736206896551725</v>
      </c>
      <c r="L79" s="39">
        <f t="shared" si="20"/>
        <v>1.1280681818181819</v>
      </c>
      <c r="M79" s="39">
        <f t="shared" si="21"/>
        <v>1.6354310344827585</v>
      </c>
      <c r="N79" s="39">
        <f t="shared" si="22"/>
        <v>313.40602272727273</v>
      </c>
      <c r="O79" s="39">
        <f t="shared" si="23"/>
        <v>406.15913793103448</v>
      </c>
      <c r="P79" s="39">
        <f t="shared" si="24"/>
        <v>719.56516065830715</v>
      </c>
      <c r="Q79" s="39">
        <f t="shared" si="25"/>
        <v>281.45301136363639</v>
      </c>
      <c r="R79" s="39">
        <f t="shared" si="26"/>
        <v>374.5137068965517</v>
      </c>
      <c r="S79" s="40">
        <f t="shared" si="27"/>
        <v>655.96671826018814</v>
      </c>
      <c r="T79">
        <f t="shared" si="28"/>
        <v>719.56516065830715</v>
      </c>
      <c r="U79">
        <f t="shared" si="29"/>
        <v>655.96671826018814</v>
      </c>
      <c r="V79">
        <f>IF(AND(settings!$D$4=0,settings!$D$7=0),'Small Dist Weight'!P79,IF(AND(settings!$D$4=0,settings!$D$7=1),T79,IF(AND(settings!$D$4=1,settings!$D$7=0),S79,U79)))</f>
        <v>655.96671826018814</v>
      </c>
    </row>
    <row r="80" spans="1:22">
      <c r="A80" t="str">
        <f>'Student Enrollment Data'!A82</f>
        <v>314</v>
      </c>
      <c r="B80">
        <f>'Student Enrollment Data'!B82</f>
        <v>314</v>
      </c>
      <c r="C80" t="str">
        <f>'Student Enrollment Data'!C82</f>
        <v>Dietrich School District # 314</v>
      </c>
      <c r="D80">
        <v>0</v>
      </c>
      <c r="E80" s="37">
        <f>IF(settings!$G$4=0,'Student Enrollment Data'!BA82,'Student Enrollment Data'!CN82)</f>
        <v>105</v>
      </c>
      <c r="F80" s="37">
        <f>IF(settings!$G$4=0,'Student Enrollment Data'!BB82,'Student Enrollment Data'!CO82)</f>
        <v>100</v>
      </c>
      <c r="G80" s="37">
        <f t="shared" si="15"/>
        <v>1</v>
      </c>
      <c r="H80" s="37">
        <f t="shared" si="16"/>
        <v>1</v>
      </c>
      <c r="I80" s="37">
        <f t="shared" si="17"/>
        <v>1</v>
      </c>
      <c r="J80" s="39">
        <f t="shared" si="18"/>
        <v>1.7159090909090908</v>
      </c>
      <c r="K80" s="39">
        <f t="shared" si="19"/>
        <v>1.9293103448275861</v>
      </c>
      <c r="L80" s="39">
        <f t="shared" si="20"/>
        <v>1.5488636363636363</v>
      </c>
      <c r="M80" s="39">
        <f t="shared" si="21"/>
        <v>1.8689655172413793</v>
      </c>
      <c r="N80" s="39">
        <f t="shared" si="22"/>
        <v>180.17045454545453</v>
      </c>
      <c r="O80" s="39">
        <f t="shared" si="23"/>
        <v>192.93103448275861</v>
      </c>
      <c r="P80" s="39">
        <f t="shared" si="24"/>
        <v>373.10148902821311</v>
      </c>
      <c r="Q80" s="39">
        <f t="shared" si="25"/>
        <v>162.63068181818181</v>
      </c>
      <c r="R80" s="39">
        <f t="shared" si="26"/>
        <v>186.89655172413794</v>
      </c>
      <c r="S80" s="40">
        <f t="shared" si="27"/>
        <v>349.52723354231978</v>
      </c>
      <c r="T80">
        <f t="shared" si="28"/>
        <v>373.10148902821311</v>
      </c>
      <c r="U80">
        <f t="shared" si="29"/>
        <v>349.52723354231978</v>
      </c>
      <c r="V80">
        <f>IF(AND(settings!$D$4=0,settings!$D$7=0),'Small Dist Weight'!P80,IF(AND(settings!$D$4=0,settings!$D$7=1),T80,IF(AND(settings!$D$4=1,settings!$D$7=0),S80,U80)))</f>
        <v>349.52723354231978</v>
      </c>
    </row>
    <row r="81" spans="1:22">
      <c r="A81" t="str">
        <f>'Student Enrollment Data'!A83</f>
        <v>316</v>
      </c>
      <c r="B81">
        <f>'Student Enrollment Data'!B83</f>
        <v>316</v>
      </c>
      <c r="C81" t="str">
        <f>'Student Enrollment Data'!C83</f>
        <v>Richfield School District # 316</v>
      </c>
      <c r="D81">
        <v>0</v>
      </c>
      <c r="E81" s="37">
        <f>IF(settings!$G$4=0,'Student Enrollment Data'!BA83,'Student Enrollment Data'!CN83)</f>
        <v>105</v>
      </c>
      <c r="F81" s="37">
        <f>IF(settings!$G$4=0,'Student Enrollment Data'!BB83,'Student Enrollment Data'!CO83)</f>
        <v>100</v>
      </c>
      <c r="G81" s="37">
        <f t="shared" si="15"/>
        <v>1</v>
      </c>
      <c r="H81" s="37">
        <f t="shared" si="16"/>
        <v>1</v>
      </c>
      <c r="I81" s="37">
        <f t="shared" si="17"/>
        <v>1</v>
      </c>
      <c r="J81" s="39">
        <f t="shared" si="18"/>
        <v>1.7159090909090908</v>
      </c>
      <c r="K81" s="39">
        <f t="shared" si="19"/>
        <v>1.9293103448275861</v>
      </c>
      <c r="L81" s="39">
        <f t="shared" si="20"/>
        <v>1.5488636363636363</v>
      </c>
      <c r="M81" s="39">
        <f t="shared" si="21"/>
        <v>1.8689655172413793</v>
      </c>
      <c r="N81" s="39">
        <f t="shared" si="22"/>
        <v>180.17045454545453</v>
      </c>
      <c r="O81" s="39">
        <f t="shared" si="23"/>
        <v>192.93103448275861</v>
      </c>
      <c r="P81" s="39">
        <f t="shared" si="24"/>
        <v>373.10148902821311</v>
      </c>
      <c r="Q81" s="39">
        <f t="shared" si="25"/>
        <v>162.63068181818181</v>
      </c>
      <c r="R81" s="39">
        <f t="shared" si="26"/>
        <v>186.89655172413794</v>
      </c>
      <c r="S81" s="40">
        <f t="shared" si="27"/>
        <v>349.52723354231978</v>
      </c>
      <c r="T81">
        <f t="shared" si="28"/>
        <v>373.10148902821311</v>
      </c>
      <c r="U81">
        <f t="shared" si="29"/>
        <v>349.52723354231978</v>
      </c>
      <c r="V81">
        <f>IF(AND(settings!$D$4=0,settings!$D$7=0),'Small Dist Weight'!P81,IF(AND(settings!$D$4=0,settings!$D$7=1),T81,IF(AND(settings!$D$4=1,settings!$D$7=0),S81,U81)))</f>
        <v>349.52723354231978</v>
      </c>
    </row>
    <row r="82" spans="1:22">
      <c r="A82" t="str">
        <f>'Student Enrollment Data'!A84</f>
        <v>321</v>
      </c>
      <c r="B82">
        <f>'Student Enrollment Data'!B84</f>
        <v>321</v>
      </c>
      <c r="C82" t="str">
        <f>'Student Enrollment Data'!C84</f>
        <v>Madison School District # 321</v>
      </c>
      <c r="D82">
        <v>0</v>
      </c>
      <c r="E82" s="37">
        <f>IF(settings!$G$4=0,'Student Enrollment Data'!BA84,'Student Enrollment Data'!CN84)</f>
        <v>2534</v>
      </c>
      <c r="F82" s="37">
        <f>IF(settings!$G$4=0,'Student Enrollment Data'!BB84,'Student Enrollment Data'!CO84)</f>
        <v>2470</v>
      </c>
      <c r="G82" s="37">
        <f t="shared" si="15"/>
        <v>0</v>
      </c>
      <c r="H82" s="37">
        <f t="shared" si="16"/>
        <v>0</v>
      </c>
      <c r="I82" s="37">
        <f t="shared" si="17"/>
        <v>0</v>
      </c>
      <c r="J82" s="39" t="str">
        <f t="shared" si="18"/>
        <v/>
      </c>
      <c r="K82" s="39" t="str">
        <f t="shared" si="19"/>
        <v/>
      </c>
      <c r="L82" s="39">
        <f t="shared" si="20"/>
        <v>0</v>
      </c>
      <c r="M82" s="39">
        <f t="shared" si="21"/>
        <v>0</v>
      </c>
      <c r="N82" s="39">
        <f t="shared" si="22"/>
        <v>2534</v>
      </c>
      <c r="O82" s="39">
        <f t="shared" si="23"/>
        <v>2470</v>
      </c>
      <c r="P82" s="39">
        <f t="shared" si="24"/>
        <v>5004</v>
      </c>
      <c r="Q82" s="39">
        <f t="shared" si="25"/>
        <v>2534</v>
      </c>
      <c r="R82" s="39">
        <f t="shared" si="26"/>
        <v>2470</v>
      </c>
      <c r="S82" s="40">
        <f t="shared" si="27"/>
        <v>5004</v>
      </c>
      <c r="T82">
        <f t="shared" si="28"/>
        <v>5004</v>
      </c>
      <c r="U82">
        <f t="shared" si="29"/>
        <v>5004</v>
      </c>
      <c r="V82">
        <f>IF(AND(settings!$D$4=0,settings!$D$7=0),'Small Dist Weight'!P82,IF(AND(settings!$D$4=0,settings!$D$7=1),T82,IF(AND(settings!$D$4=1,settings!$D$7=0),S82,U82)))</f>
        <v>5004</v>
      </c>
    </row>
    <row r="83" spans="1:22">
      <c r="A83" t="str">
        <f>'Student Enrollment Data'!A85</f>
        <v>322</v>
      </c>
      <c r="B83">
        <f>'Student Enrollment Data'!B85</f>
        <v>322</v>
      </c>
      <c r="C83" t="str">
        <f>'Student Enrollment Data'!C85</f>
        <v>Sugar-Salem Joint School District # 322</v>
      </c>
      <c r="D83">
        <v>0</v>
      </c>
      <c r="E83" s="37">
        <f>IF(settings!$G$4=0,'Student Enrollment Data'!BA85,'Student Enrollment Data'!CN85)</f>
        <v>749</v>
      </c>
      <c r="F83" s="37">
        <f>IF(settings!$G$4=0,'Student Enrollment Data'!BB85,'Student Enrollment Data'!CO85)</f>
        <v>810</v>
      </c>
      <c r="G83" s="37">
        <f t="shared" si="15"/>
        <v>0</v>
      </c>
      <c r="H83" s="37">
        <f t="shared" si="16"/>
        <v>1</v>
      </c>
      <c r="I83" s="37">
        <f t="shared" si="17"/>
        <v>0</v>
      </c>
      <c r="J83" s="39" t="str">
        <f t="shared" si="18"/>
        <v/>
      </c>
      <c r="K83" s="39">
        <f t="shared" si="19"/>
        <v>1.0724137931034483</v>
      </c>
      <c r="L83" s="39">
        <f t="shared" si="20"/>
        <v>0</v>
      </c>
      <c r="M83" s="39">
        <f t="shared" si="21"/>
        <v>1.0362068965517244</v>
      </c>
      <c r="N83" s="39">
        <f t="shared" si="22"/>
        <v>749</v>
      </c>
      <c r="O83" s="39">
        <f t="shared" si="23"/>
        <v>868.65517241379314</v>
      </c>
      <c r="P83" s="39">
        <f t="shared" si="24"/>
        <v>1617.655172413793</v>
      </c>
      <c r="Q83" s="39">
        <f t="shared" si="25"/>
        <v>749</v>
      </c>
      <c r="R83" s="39">
        <f t="shared" si="26"/>
        <v>839.32758620689674</v>
      </c>
      <c r="S83" s="40">
        <f t="shared" si="27"/>
        <v>1588.3275862068967</v>
      </c>
      <c r="T83">
        <f t="shared" si="28"/>
        <v>1617.655172413793</v>
      </c>
      <c r="U83">
        <f t="shared" si="29"/>
        <v>1588.3275862068967</v>
      </c>
      <c r="V83">
        <f>IF(AND(settings!$D$4=0,settings!$D$7=0),'Small Dist Weight'!P83,IF(AND(settings!$D$4=0,settings!$D$7=1),T83,IF(AND(settings!$D$4=1,settings!$D$7=0),S83,U83)))</f>
        <v>1588.3275862068967</v>
      </c>
    </row>
    <row r="84" spans="1:22">
      <c r="A84" t="str">
        <f>'Student Enrollment Data'!A86</f>
        <v>331</v>
      </c>
      <c r="B84">
        <f>'Student Enrollment Data'!B86</f>
        <v>331</v>
      </c>
      <c r="C84" t="str">
        <f>'Student Enrollment Data'!C86</f>
        <v>Minidoka County Joint School District # 331</v>
      </c>
      <c r="D84">
        <v>0</v>
      </c>
      <c r="E84" s="37">
        <f>IF(settings!$G$4=0,'Student Enrollment Data'!BA86,'Student Enrollment Data'!CN86)</f>
        <v>2224</v>
      </c>
      <c r="F84" s="37">
        <f>IF(settings!$G$4=0,'Student Enrollment Data'!BB86,'Student Enrollment Data'!CO86)</f>
        <v>1814</v>
      </c>
      <c r="G84" s="37">
        <f t="shared" si="15"/>
        <v>0</v>
      </c>
      <c r="H84" s="37">
        <f t="shared" si="16"/>
        <v>0</v>
      </c>
      <c r="I84" s="37">
        <f t="shared" si="17"/>
        <v>0</v>
      </c>
      <c r="J84" s="39" t="str">
        <f t="shared" si="18"/>
        <v/>
      </c>
      <c r="K84" s="39" t="str">
        <f t="shared" si="19"/>
        <v/>
      </c>
      <c r="L84" s="39">
        <f t="shared" si="20"/>
        <v>0</v>
      </c>
      <c r="M84" s="39">
        <f t="shared" si="21"/>
        <v>0</v>
      </c>
      <c r="N84" s="39">
        <f t="shared" si="22"/>
        <v>2224</v>
      </c>
      <c r="O84" s="39">
        <f t="shared" si="23"/>
        <v>1814</v>
      </c>
      <c r="P84" s="39">
        <f t="shared" si="24"/>
        <v>4038</v>
      </c>
      <c r="Q84" s="39">
        <f t="shared" si="25"/>
        <v>2224</v>
      </c>
      <c r="R84" s="39">
        <f t="shared" si="26"/>
        <v>1814</v>
      </c>
      <c r="S84" s="40">
        <f t="shared" si="27"/>
        <v>4038</v>
      </c>
      <c r="T84">
        <f t="shared" si="28"/>
        <v>4038</v>
      </c>
      <c r="U84">
        <f t="shared" si="29"/>
        <v>4038</v>
      </c>
      <c r="V84">
        <f>IF(AND(settings!$D$4=0,settings!$D$7=0),'Small Dist Weight'!P84,IF(AND(settings!$D$4=0,settings!$D$7=1),T84,IF(AND(settings!$D$4=1,settings!$D$7=0),S84,U84)))</f>
        <v>4038</v>
      </c>
    </row>
    <row r="85" spans="1:22">
      <c r="A85" t="str">
        <f>'Student Enrollment Data'!A87</f>
        <v>340</v>
      </c>
      <c r="B85">
        <f>'Student Enrollment Data'!B87</f>
        <v>340</v>
      </c>
      <c r="C85" t="str">
        <f>'Student Enrollment Data'!C87</f>
        <v>Lewiston Independent School District # 340</v>
      </c>
      <c r="D85">
        <v>0</v>
      </c>
      <c r="E85" s="37">
        <f>IF(settings!$G$4=0,'Student Enrollment Data'!BA87,'Student Enrollment Data'!CN87)</f>
        <v>2276</v>
      </c>
      <c r="F85" s="37">
        <f>IF(settings!$G$4=0,'Student Enrollment Data'!BB87,'Student Enrollment Data'!CO87)</f>
        <v>2236</v>
      </c>
      <c r="G85" s="37">
        <f t="shared" si="15"/>
        <v>0</v>
      </c>
      <c r="H85" s="37">
        <f t="shared" si="16"/>
        <v>0</v>
      </c>
      <c r="I85" s="37">
        <f t="shared" si="17"/>
        <v>0</v>
      </c>
      <c r="J85" s="39" t="str">
        <f t="shared" si="18"/>
        <v/>
      </c>
      <c r="K85" s="39" t="str">
        <f t="shared" si="19"/>
        <v/>
      </c>
      <c r="L85" s="39">
        <f t="shared" si="20"/>
        <v>0</v>
      </c>
      <c r="M85" s="39">
        <f t="shared" si="21"/>
        <v>0</v>
      </c>
      <c r="N85" s="39">
        <f t="shared" si="22"/>
        <v>2276</v>
      </c>
      <c r="O85" s="39">
        <f t="shared" si="23"/>
        <v>2236</v>
      </c>
      <c r="P85" s="39">
        <f t="shared" si="24"/>
        <v>4512</v>
      </c>
      <c r="Q85" s="39">
        <f t="shared" si="25"/>
        <v>2276</v>
      </c>
      <c r="R85" s="39">
        <f t="shared" si="26"/>
        <v>2236</v>
      </c>
      <c r="S85" s="40">
        <f t="shared" si="27"/>
        <v>4512</v>
      </c>
      <c r="T85">
        <f t="shared" si="28"/>
        <v>4512</v>
      </c>
      <c r="U85">
        <f t="shared" si="29"/>
        <v>4512</v>
      </c>
      <c r="V85">
        <f>IF(AND(settings!$D$4=0,settings!$D$7=0),'Small Dist Weight'!P85,IF(AND(settings!$D$4=0,settings!$D$7=1),T85,IF(AND(settings!$D$4=1,settings!$D$7=0),S85,U85)))</f>
        <v>4512</v>
      </c>
    </row>
    <row r="86" spans="1:22">
      <c r="A86" t="str">
        <f>'Student Enrollment Data'!A88</f>
        <v>341</v>
      </c>
      <c r="B86">
        <f>'Student Enrollment Data'!B88</f>
        <v>341</v>
      </c>
      <c r="C86" t="str">
        <f>'Student Enrollment Data'!C88</f>
        <v>Lapwai School District # 341</v>
      </c>
      <c r="D86">
        <v>0</v>
      </c>
      <c r="E86" s="37">
        <f>IF(settings!$G$4=0,'Student Enrollment Data'!BA88,'Student Enrollment Data'!CN88)</f>
        <v>259.5</v>
      </c>
      <c r="F86" s="37">
        <f>IF(settings!$G$4=0,'Student Enrollment Data'!BB88,'Student Enrollment Data'!CO88)</f>
        <v>222</v>
      </c>
      <c r="G86" s="37">
        <f t="shared" si="15"/>
        <v>1</v>
      </c>
      <c r="H86" s="37">
        <f t="shared" si="16"/>
        <v>1</v>
      </c>
      <c r="I86" s="37">
        <f t="shared" si="17"/>
        <v>1</v>
      </c>
      <c r="J86" s="39">
        <f t="shared" si="18"/>
        <v>1.2243181818181819</v>
      </c>
      <c r="K86" s="39">
        <f t="shared" si="19"/>
        <v>1.7820689655172415</v>
      </c>
      <c r="L86" s="39">
        <f t="shared" si="20"/>
        <v>1.112159090909091</v>
      </c>
      <c r="M86" s="39">
        <f t="shared" si="21"/>
        <v>1.6481034482758621</v>
      </c>
      <c r="N86" s="39">
        <f t="shared" si="22"/>
        <v>317.71056818181819</v>
      </c>
      <c r="O86" s="39">
        <f t="shared" si="23"/>
        <v>395.61931034482762</v>
      </c>
      <c r="P86" s="39">
        <f t="shared" si="24"/>
        <v>713.32987852664587</v>
      </c>
      <c r="Q86" s="39">
        <f t="shared" si="25"/>
        <v>288.60528409090915</v>
      </c>
      <c r="R86" s="39">
        <f t="shared" si="26"/>
        <v>365.8789655172414</v>
      </c>
      <c r="S86" s="40">
        <f t="shared" si="27"/>
        <v>654.48424960815055</v>
      </c>
      <c r="T86">
        <f t="shared" si="28"/>
        <v>713.32987852664587</v>
      </c>
      <c r="U86">
        <f t="shared" si="29"/>
        <v>654.48424960815055</v>
      </c>
      <c r="V86">
        <f>IF(AND(settings!$D$4=0,settings!$D$7=0),'Small Dist Weight'!P86,IF(AND(settings!$D$4=0,settings!$D$7=1),T86,IF(AND(settings!$D$4=1,settings!$D$7=0),S86,U86)))</f>
        <v>654.48424960815055</v>
      </c>
    </row>
    <row r="87" spans="1:22">
      <c r="A87" t="str">
        <f>'Student Enrollment Data'!A89</f>
        <v>342</v>
      </c>
      <c r="B87">
        <f>'Student Enrollment Data'!B89</f>
        <v>342</v>
      </c>
      <c r="C87" t="str">
        <f>'Student Enrollment Data'!C89</f>
        <v>Culdesac Joint School District # 342</v>
      </c>
      <c r="D87">
        <v>0</v>
      </c>
      <c r="E87" s="37">
        <f>IF(settings!$G$4=0,'Student Enrollment Data'!BA89,'Student Enrollment Data'!CN89)</f>
        <v>44</v>
      </c>
      <c r="F87" s="37">
        <f>IF(settings!$G$4=0,'Student Enrollment Data'!BB89,'Student Enrollment Data'!CO89)</f>
        <v>100</v>
      </c>
      <c r="G87" s="37">
        <f t="shared" si="15"/>
        <v>1</v>
      </c>
      <c r="H87" s="37">
        <f t="shared" si="16"/>
        <v>1</v>
      </c>
      <c r="I87" s="37">
        <f t="shared" si="17"/>
        <v>1</v>
      </c>
      <c r="J87" s="39">
        <f t="shared" si="18"/>
        <v>1.9100000000000001</v>
      </c>
      <c r="K87" s="39">
        <f t="shared" si="19"/>
        <v>1.9293103448275861</v>
      </c>
      <c r="L87" s="39">
        <f t="shared" si="20"/>
        <v>1.84</v>
      </c>
      <c r="M87" s="39">
        <f t="shared" si="21"/>
        <v>1.8689655172413793</v>
      </c>
      <c r="N87" s="39">
        <f t="shared" si="22"/>
        <v>84.04</v>
      </c>
      <c r="O87" s="39">
        <f t="shared" si="23"/>
        <v>192.93103448275861</v>
      </c>
      <c r="P87" s="39">
        <f t="shared" si="24"/>
        <v>276.97103448275863</v>
      </c>
      <c r="Q87" s="39">
        <f t="shared" si="25"/>
        <v>80.960000000000008</v>
      </c>
      <c r="R87" s="39">
        <f t="shared" si="26"/>
        <v>186.89655172413794</v>
      </c>
      <c r="S87" s="40">
        <f t="shared" si="27"/>
        <v>267.85655172413794</v>
      </c>
      <c r="T87">
        <f t="shared" si="28"/>
        <v>276.97103448275863</v>
      </c>
      <c r="U87">
        <f t="shared" si="29"/>
        <v>267.85655172413794</v>
      </c>
      <c r="V87">
        <f>IF(AND(settings!$D$4=0,settings!$D$7=0),'Small Dist Weight'!P87,IF(AND(settings!$D$4=0,settings!$D$7=1),T87,IF(AND(settings!$D$4=1,settings!$D$7=0),S87,U87)))</f>
        <v>267.85655172413794</v>
      </c>
    </row>
    <row r="88" spans="1:22">
      <c r="A88" t="str">
        <f>'Student Enrollment Data'!A90</f>
        <v>351</v>
      </c>
      <c r="B88">
        <f>'Student Enrollment Data'!B90</f>
        <v>351</v>
      </c>
      <c r="C88" t="str">
        <f>'Student Enrollment Data'!C90</f>
        <v>Oneida County School District # 351</v>
      </c>
      <c r="D88">
        <v>0</v>
      </c>
      <c r="E88" s="37">
        <f>IF(settings!$G$4=0,'Student Enrollment Data'!BA90,'Student Enrollment Data'!CN90)</f>
        <v>1650</v>
      </c>
      <c r="F88" s="37">
        <f>IF(settings!$G$4=0,'Student Enrollment Data'!BB90,'Student Enrollment Data'!CO90)</f>
        <v>623</v>
      </c>
      <c r="G88" s="37">
        <f t="shared" si="15"/>
        <v>0</v>
      </c>
      <c r="H88" s="37">
        <f t="shared" si="16"/>
        <v>1</v>
      </c>
      <c r="I88" s="37">
        <f t="shared" si="17"/>
        <v>0</v>
      </c>
      <c r="J88" s="39" t="str">
        <f t="shared" si="18"/>
        <v/>
      </c>
      <c r="K88" s="39">
        <f t="shared" si="19"/>
        <v>1.298103448275862</v>
      </c>
      <c r="L88" s="39">
        <f t="shared" si="20"/>
        <v>0</v>
      </c>
      <c r="M88" s="39">
        <f t="shared" si="21"/>
        <v>1.1490517241379312</v>
      </c>
      <c r="N88" s="39">
        <f t="shared" si="22"/>
        <v>1650</v>
      </c>
      <c r="O88" s="39">
        <f t="shared" si="23"/>
        <v>808.71844827586199</v>
      </c>
      <c r="P88" s="39">
        <f t="shared" si="24"/>
        <v>2458.7184482758621</v>
      </c>
      <c r="Q88" s="39">
        <f t="shared" si="25"/>
        <v>1650</v>
      </c>
      <c r="R88" s="39">
        <f t="shared" si="26"/>
        <v>715.85922413793116</v>
      </c>
      <c r="S88" s="40">
        <f t="shared" si="27"/>
        <v>2365.8592241379311</v>
      </c>
      <c r="T88">
        <f t="shared" si="28"/>
        <v>2458.7184482758621</v>
      </c>
      <c r="U88">
        <f t="shared" si="29"/>
        <v>2365.8592241379311</v>
      </c>
      <c r="V88">
        <f>IF(AND(settings!$D$4=0,settings!$D$7=0),'Small Dist Weight'!P88,IF(AND(settings!$D$4=0,settings!$D$7=1),T88,IF(AND(settings!$D$4=1,settings!$D$7=0),S88,U88)))</f>
        <v>2365.8592241379311</v>
      </c>
    </row>
    <row r="89" spans="1:22">
      <c r="A89" t="str">
        <f>'Student Enrollment Data'!A91</f>
        <v>363</v>
      </c>
      <c r="B89">
        <f>'Student Enrollment Data'!B91</f>
        <v>363</v>
      </c>
      <c r="C89" t="str">
        <f>'Student Enrollment Data'!C91</f>
        <v>Marsing Joint School District # 363</v>
      </c>
      <c r="D89">
        <v>0</v>
      </c>
      <c r="E89" s="37">
        <f>IF(settings!$G$4=0,'Student Enrollment Data'!BA91,'Student Enrollment Data'!CN91)</f>
        <v>422.5</v>
      </c>
      <c r="F89" s="37">
        <f>IF(settings!$G$4=0,'Student Enrollment Data'!BB91,'Student Enrollment Data'!CO91)</f>
        <v>404</v>
      </c>
      <c r="G89" s="37">
        <f t="shared" si="15"/>
        <v>0</v>
      </c>
      <c r="H89" s="37">
        <f t="shared" si="16"/>
        <v>1</v>
      </c>
      <c r="I89" s="37">
        <f t="shared" si="17"/>
        <v>0</v>
      </c>
      <c r="J89" s="39" t="str">
        <f t="shared" si="18"/>
        <v/>
      </c>
      <c r="K89" s="39">
        <f t="shared" si="19"/>
        <v>1.5624137931034483</v>
      </c>
      <c r="L89" s="39">
        <f t="shared" si="20"/>
        <v>0</v>
      </c>
      <c r="M89" s="39">
        <f t="shared" si="21"/>
        <v>1.3186206896551724</v>
      </c>
      <c r="N89" s="39">
        <f t="shared" si="22"/>
        <v>422.5</v>
      </c>
      <c r="O89" s="39">
        <f t="shared" si="23"/>
        <v>631.21517241379308</v>
      </c>
      <c r="P89" s="39">
        <f t="shared" si="24"/>
        <v>1053.715172413793</v>
      </c>
      <c r="Q89" s="39">
        <f t="shared" si="25"/>
        <v>422.5</v>
      </c>
      <c r="R89" s="39">
        <f t="shared" si="26"/>
        <v>532.72275862068966</v>
      </c>
      <c r="S89" s="40">
        <f t="shared" si="27"/>
        <v>955.22275862068966</v>
      </c>
      <c r="T89">
        <f t="shared" si="28"/>
        <v>1053.715172413793</v>
      </c>
      <c r="U89">
        <f t="shared" si="29"/>
        <v>955.22275862068966</v>
      </c>
      <c r="V89">
        <f>IF(AND(settings!$D$4=0,settings!$D$7=0),'Small Dist Weight'!P89,IF(AND(settings!$D$4=0,settings!$D$7=1),T89,IF(AND(settings!$D$4=1,settings!$D$7=0),S89,U89)))</f>
        <v>955.22275862068966</v>
      </c>
    </row>
    <row r="90" spans="1:22">
      <c r="A90" t="str">
        <f>'Student Enrollment Data'!A92</f>
        <v>364</v>
      </c>
      <c r="B90">
        <f>'Student Enrollment Data'!B92</f>
        <v>364</v>
      </c>
      <c r="C90" t="str">
        <f>'Student Enrollment Data'!C92</f>
        <v>Pleasant Valley Elem. School District # 364</v>
      </c>
      <c r="D90">
        <v>0</v>
      </c>
      <c r="E90" s="37">
        <f>IF(settings!$G$4=0,'Student Enrollment Data'!BA92,'Student Enrollment Data'!CN92)</f>
        <v>6</v>
      </c>
      <c r="F90" s="37">
        <f>IF(settings!$G$4=0,'Student Enrollment Data'!BB92,'Student Enrollment Data'!CO92)</f>
        <v>0</v>
      </c>
      <c r="G90" s="37">
        <f t="shared" si="15"/>
        <v>1</v>
      </c>
      <c r="H90" s="37">
        <f t="shared" si="16"/>
        <v>1</v>
      </c>
      <c r="I90" s="37">
        <f t="shared" si="17"/>
        <v>1</v>
      </c>
      <c r="J90" s="39">
        <f t="shared" si="18"/>
        <v>2.0499999999999998</v>
      </c>
      <c r="K90" s="39">
        <f t="shared" si="19"/>
        <v>2.0499999999999998</v>
      </c>
      <c r="L90" s="39">
        <f t="shared" si="20"/>
        <v>2.0499999999999998</v>
      </c>
      <c r="M90" s="39">
        <f t="shared" si="21"/>
        <v>2.0499999999999998</v>
      </c>
      <c r="N90" s="39">
        <f t="shared" si="22"/>
        <v>12.299999999999999</v>
      </c>
      <c r="O90" s="39">
        <f t="shared" si="23"/>
        <v>0</v>
      </c>
      <c r="P90" s="39">
        <f t="shared" si="24"/>
        <v>12.299999999999999</v>
      </c>
      <c r="Q90" s="39">
        <f t="shared" si="25"/>
        <v>12.299999999999999</v>
      </c>
      <c r="R90" s="39">
        <f t="shared" si="26"/>
        <v>0</v>
      </c>
      <c r="S90" s="40">
        <f t="shared" si="27"/>
        <v>12.299999999999999</v>
      </c>
      <c r="T90">
        <f t="shared" si="28"/>
        <v>12.299999999999999</v>
      </c>
      <c r="U90">
        <f t="shared" si="29"/>
        <v>12.299999999999999</v>
      </c>
      <c r="V90">
        <f>IF(AND(settings!$D$4=0,settings!$D$7=0),'Small Dist Weight'!P90,IF(AND(settings!$D$4=0,settings!$D$7=1),T90,IF(AND(settings!$D$4=1,settings!$D$7=0),S90,U90)))</f>
        <v>12.299999999999999</v>
      </c>
    </row>
    <row r="91" spans="1:22">
      <c r="A91" t="str">
        <f>'Student Enrollment Data'!A93</f>
        <v>365</v>
      </c>
      <c r="B91">
        <f>'Student Enrollment Data'!B93</f>
        <v>365</v>
      </c>
      <c r="C91" t="str">
        <f>'Student Enrollment Data'!C93</f>
        <v>Bruneau-Grand View Jt. School District # 365</v>
      </c>
      <c r="D91">
        <v>0</v>
      </c>
      <c r="E91" s="37">
        <f>IF(settings!$G$4=0,'Student Enrollment Data'!BA93,'Student Enrollment Data'!CN93)</f>
        <v>143.5</v>
      </c>
      <c r="F91" s="37">
        <f>IF(settings!$G$4=0,'Student Enrollment Data'!BB93,'Student Enrollment Data'!CO93)</f>
        <v>147</v>
      </c>
      <c r="G91" s="37">
        <f t="shared" si="15"/>
        <v>1</v>
      </c>
      <c r="H91" s="37">
        <f t="shared" si="16"/>
        <v>1</v>
      </c>
      <c r="I91" s="37">
        <f t="shared" si="17"/>
        <v>1</v>
      </c>
      <c r="J91" s="39">
        <f t="shared" si="18"/>
        <v>1.593409090909091</v>
      </c>
      <c r="K91" s="39">
        <f t="shared" si="19"/>
        <v>1.8725862068965518</v>
      </c>
      <c r="L91" s="39">
        <f t="shared" si="20"/>
        <v>1.3651136363636365</v>
      </c>
      <c r="M91" s="39">
        <f t="shared" si="21"/>
        <v>1.7838793103448276</v>
      </c>
      <c r="N91" s="39">
        <f t="shared" si="22"/>
        <v>228.65420454545455</v>
      </c>
      <c r="O91" s="39">
        <f t="shared" si="23"/>
        <v>275.27017241379309</v>
      </c>
      <c r="P91" s="39">
        <f t="shared" si="24"/>
        <v>503.92437695924764</v>
      </c>
      <c r="Q91" s="39">
        <f t="shared" si="25"/>
        <v>195.89380681818184</v>
      </c>
      <c r="R91" s="39">
        <f t="shared" si="26"/>
        <v>262.23025862068965</v>
      </c>
      <c r="S91" s="40">
        <f t="shared" si="27"/>
        <v>458.12406543887153</v>
      </c>
      <c r="T91">
        <f t="shared" si="28"/>
        <v>503.92437695924764</v>
      </c>
      <c r="U91">
        <f t="shared" si="29"/>
        <v>458.12406543887153</v>
      </c>
      <c r="V91">
        <f>IF(AND(settings!$D$4=0,settings!$D$7=0),'Small Dist Weight'!P91,IF(AND(settings!$D$4=0,settings!$D$7=1),T91,IF(AND(settings!$D$4=1,settings!$D$7=0),S91,U91)))</f>
        <v>458.12406543887153</v>
      </c>
    </row>
    <row r="92" spans="1:22">
      <c r="A92" t="str">
        <f>'Student Enrollment Data'!A94</f>
        <v>370</v>
      </c>
      <c r="B92">
        <f>'Student Enrollment Data'!B94</f>
        <v>370</v>
      </c>
      <c r="C92" t="str">
        <f>'Student Enrollment Data'!C94</f>
        <v>Homedale Joint School District # 370</v>
      </c>
      <c r="D92">
        <v>0</v>
      </c>
      <c r="E92" s="37">
        <f>IF(settings!$G$4=0,'Student Enrollment Data'!BA94,'Student Enrollment Data'!CN94)</f>
        <v>610</v>
      </c>
      <c r="F92" s="37">
        <f>IF(settings!$G$4=0,'Student Enrollment Data'!BB94,'Student Enrollment Data'!CO94)</f>
        <v>558</v>
      </c>
      <c r="G92" s="37">
        <f t="shared" si="15"/>
        <v>0</v>
      </c>
      <c r="H92" s="37">
        <f t="shared" si="16"/>
        <v>1</v>
      </c>
      <c r="I92" s="37">
        <f t="shared" si="17"/>
        <v>0</v>
      </c>
      <c r="J92" s="39" t="str">
        <f t="shared" si="18"/>
        <v/>
      </c>
      <c r="K92" s="39">
        <f t="shared" si="19"/>
        <v>1.376551724137931</v>
      </c>
      <c r="L92" s="39">
        <f t="shared" si="20"/>
        <v>0</v>
      </c>
      <c r="M92" s="39">
        <f t="shared" si="21"/>
        <v>1.1882758620689655</v>
      </c>
      <c r="N92" s="39">
        <f t="shared" si="22"/>
        <v>610</v>
      </c>
      <c r="O92" s="39">
        <f t="shared" si="23"/>
        <v>768.1158620689655</v>
      </c>
      <c r="P92" s="39">
        <f t="shared" si="24"/>
        <v>1378.1158620689655</v>
      </c>
      <c r="Q92" s="39">
        <f t="shared" si="25"/>
        <v>610</v>
      </c>
      <c r="R92" s="39">
        <f t="shared" si="26"/>
        <v>663.05793103448275</v>
      </c>
      <c r="S92" s="40">
        <f t="shared" si="27"/>
        <v>1273.0579310344829</v>
      </c>
      <c r="T92">
        <f t="shared" si="28"/>
        <v>1378.1158620689655</v>
      </c>
      <c r="U92">
        <f t="shared" si="29"/>
        <v>1273.0579310344829</v>
      </c>
      <c r="V92">
        <f>IF(AND(settings!$D$4=0,settings!$D$7=0),'Small Dist Weight'!P92,IF(AND(settings!$D$4=0,settings!$D$7=1),T92,IF(AND(settings!$D$4=1,settings!$D$7=0),S92,U92)))</f>
        <v>1273.0579310344829</v>
      </c>
    </row>
    <row r="93" spans="1:22">
      <c r="A93" t="str">
        <f>'Student Enrollment Data'!A95</f>
        <v>371</v>
      </c>
      <c r="B93">
        <f>'Student Enrollment Data'!B95</f>
        <v>371</v>
      </c>
      <c r="C93" t="str">
        <f>'Student Enrollment Data'!C95</f>
        <v>Payette Joint School District # 371</v>
      </c>
      <c r="D93">
        <v>0</v>
      </c>
      <c r="E93" s="37">
        <f>IF(settings!$G$4=0,'Student Enrollment Data'!BA95,'Student Enrollment Data'!CN95)</f>
        <v>794</v>
      </c>
      <c r="F93" s="37">
        <f>IF(settings!$G$4=0,'Student Enrollment Data'!BB95,'Student Enrollment Data'!CO95)</f>
        <v>689</v>
      </c>
      <c r="G93" s="37">
        <f t="shared" si="15"/>
        <v>0</v>
      </c>
      <c r="H93" s="37">
        <f t="shared" si="16"/>
        <v>1</v>
      </c>
      <c r="I93" s="37">
        <f t="shared" si="17"/>
        <v>0</v>
      </c>
      <c r="J93" s="39" t="str">
        <f t="shared" si="18"/>
        <v/>
      </c>
      <c r="K93" s="39">
        <f t="shared" si="19"/>
        <v>1.2184482758620689</v>
      </c>
      <c r="L93" s="39">
        <f t="shared" si="20"/>
        <v>0</v>
      </c>
      <c r="M93" s="39">
        <f t="shared" si="21"/>
        <v>1.1092241379310346</v>
      </c>
      <c r="N93" s="39">
        <f t="shared" si="22"/>
        <v>794</v>
      </c>
      <c r="O93" s="39">
        <f t="shared" si="23"/>
        <v>839.51086206896548</v>
      </c>
      <c r="P93" s="39">
        <f t="shared" si="24"/>
        <v>1633.5108620689655</v>
      </c>
      <c r="Q93" s="39">
        <f t="shared" si="25"/>
        <v>794</v>
      </c>
      <c r="R93" s="39">
        <f t="shared" si="26"/>
        <v>764.25543103448285</v>
      </c>
      <c r="S93" s="40">
        <f t="shared" si="27"/>
        <v>1558.2554310344829</v>
      </c>
      <c r="T93">
        <f t="shared" si="28"/>
        <v>1633.5108620689655</v>
      </c>
      <c r="U93">
        <f t="shared" si="29"/>
        <v>1558.2554310344829</v>
      </c>
      <c r="V93">
        <f>IF(AND(settings!$D$4=0,settings!$D$7=0),'Small Dist Weight'!P93,IF(AND(settings!$D$4=0,settings!$D$7=1),T93,IF(AND(settings!$D$4=1,settings!$D$7=0),S93,U93)))</f>
        <v>1558.2554310344829</v>
      </c>
    </row>
    <row r="94" spans="1:22">
      <c r="A94" t="str">
        <f>'Student Enrollment Data'!A96</f>
        <v>372</v>
      </c>
      <c r="B94">
        <f>'Student Enrollment Data'!B96</f>
        <v>372</v>
      </c>
      <c r="C94" t="str">
        <f>'Student Enrollment Data'!C96</f>
        <v>New Plymouth School District # 372</v>
      </c>
      <c r="D94">
        <v>0</v>
      </c>
      <c r="E94" s="37">
        <f>IF(settings!$G$4=0,'Student Enrollment Data'!BA96,'Student Enrollment Data'!CN96)</f>
        <v>470.5</v>
      </c>
      <c r="F94" s="37">
        <f>IF(settings!$G$4=0,'Student Enrollment Data'!BB96,'Student Enrollment Data'!CO96)</f>
        <v>477</v>
      </c>
      <c r="G94" s="37">
        <f t="shared" si="15"/>
        <v>0</v>
      </c>
      <c r="H94" s="37">
        <f t="shared" si="16"/>
        <v>1</v>
      </c>
      <c r="I94" s="37">
        <f t="shared" si="17"/>
        <v>0</v>
      </c>
      <c r="J94" s="39" t="str">
        <f t="shared" si="18"/>
        <v/>
      </c>
      <c r="K94" s="39">
        <f t="shared" si="19"/>
        <v>1.4743103448275863</v>
      </c>
      <c r="L94" s="39">
        <f t="shared" si="20"/>
        <v>0</v>
      </c>
      <c r="M94" s="39">
        <f t="shared" si="21"/>
        <v>1.2371551724137932</v>
      </c>
      <c r="N94" s="39">
        <f t="shared" si="22"/>
        <v>470.5</v>
      </c>
      <c r="O94" s="39">
        <f t="shared" si="23"/>
        <v>703.24603448275866</v>
      </c>
      <c r="P94" s="39">
        <f t="shared" si="24"/>
        <v>1173.7460344827587</v>
      </c>
      <c r="Q94" s="39">
        <f t="shared" si="25"/>
        <v>470.5</v>
      </c>
      <c r="R94" s="39">
        <f t="shared" si="26"/>
        <v>590.12301724137933</v>
      </c>
      <c r="S94" s="40">
        <f t="shared" si="27"/>
        <v>1060.6230172413793</v>
      </c>
      <c r="T94">
        <f t="shared" si="28"/>
        <v>1173.7460344827587</v>
      </c>
      <c r="U94">
        <f t="shared" si="29"/>
        <v>1060.6230172413793</v>
      </c>
      <c r="V94">
        <f>IF(AND(settings!$D$4=0,settings!$D$7=0),'Small Dist Weight'!P94,IF(AND(settings!$D$4=0,settings!$D$7=1),T94,IF(AND(settings!$D$4=1,settings!$D$7=0),S94,U94)))</f>
        <v>1060.6230172413793</v>
      </c>
    </row>
    <row r="95" spans="1:22">
      <c r="A95" t="str">
        <f>'Student Enrollment Data'!A97</f>
        <v>373</v>
      </c>
      <c r="B95">
        <f>'Student Enrollment Data'!B97</f>
        <v>373</v>
      </c>
      <c r="C95" t="str">
        <f>'Student Enrollment Data'!C97</f>
        <v>Fruitland School District # 373</v>
      </c>
      <c r="D95">
        <v>0</v>
      </c>
      <c r="E95" s="37">
        <f>IF(settings!$G$4=0,'Student Enrollment Data'!BA97,'Student Enrollment Data'!CN97)</f>
        <v>869.5</v>
      </c>
      <c r="F95" s="37">
        <f>IF(settings!$G$4=0,'Student Enrollment Data'!BB97,'Student Enrollment Data'!CO97)</f>
        <v>825</v>
      </c>
      <c r="G95" s="37">
        <f t="shared" si="15"/>
        <v>0</v>
      </c>
      <c r="H95" s="37">
        <f t="shared" si="16"/>
        <v>1</v>
      </c>
      <c r="I95" s="37">
        <f t="shared" si="17"/>
        <v>0</v>
      </c>
      <c r="J95" s="39" t="str">
        <f t="shared" si="18"/>
        <v/>
      </c>
      <c r="K95" s="39">
        <f t="shared" si="19"/>
        <v>1.0543103448275861</v>
      </c>
      <c r="L95" s="39">
        <f t="shared" si="20"/>
        <v>0</v>
      </c>
      <c r="M95" s="39">
        <f t="shared" si="21"/>
        <v>1.0271551724137933</v>
      </c>
      <c r="N95" s="39">
        <f t="shared" si="22"/>
        <v>869.5</v>
      </c>
      <c r="O95" s="39">
        <f t="shared" si="23"/>
        <v>869.80603448275861</v>
      </c>
      <c r="P95" s="39">
        <f t="shared" si="24"/>
        <v>1739.3060344827586</v>
      </c>
      <c r="Q95" s="39">
        <f t="shared" si="25"/>
        <v>869.5</v>
      </c>
      <c r="R95" s="39">
        <f t="shared" si="26"/>
        <v>847.40301724137942</v>
      </c>
      <c r="S95" s="40">
        <f t="shared" si="27"/>
        <v>1716.9030172413795</v>
      </c>
      <c r="T95">
        <f t="shared" si="28"/>
        <v>1739.3060344827586</v>
      </c>
      <c r="U95">
        <f t="shared" si="29"/>
        <v>1716.9030172413795</v>
      </c>
      <c r="V95">
        <f>IF(AND(settings!$D$4=0,settings!$D$7=0),'Small Dist Weight'!P95,IF(AND(settings!$D$4=0,settings!$D$7=1),T95,IF(AND(settings!$D$4=1,settings!$D$7=0),S95,U95)))</f>
        <v>1716.9030172413795</v>
      </c>
    </row>
    <row r="96" spans="1:22">
      <c r="A96" t="str">
        <f>'Student Enrollment Data'!A98</f>
        <v>381</v>
      </c>
      <c r="B96">
        <f>'Student Enrollment Data'!B98</f>
        <v>381</v>
      </c>
      <c r="C96" t="str">
        <f>'Student Enrollment Data'!C98</f>
        <v>American Falls Joint School District # 381</v>
      </c>
      <c r="D96">
        <v>0</v>
      </c>
      <c r="E96" s="37">
        <f>IF(settings!$G$4=0,'Student Enrollment Data'!BA98,'Student Enrollment Data'!CN98)</f>
        <v>731</v>
      </c>
      <c r="F96" s="37">
        <f>IF(settings!$G$4=0,'Student Enrollment Data'!BB98,'Student Enrollment Data'!CO98)</f>
        <v>673</v>
      </c>
      <c r="G96" s="37">
        <f t="shared" si="15"/>
        <v>0</v>
      </c>
      <c r="H96" s="37">
        <f t="shared" si="16"/>
        <v>1</v>
      </c>
      <c r="I96" s="37">
        <f t="shared" si="17"/>
        <v>0</v>
      </c>
      <c r="J96" s="39" t="str">
        <f t="shared" si="18"/>
        <v/>
      </c>
      <c r="K96" s="39">
        <f t="shared" si="19"/>
        <v>1.2377586206896551</v>
      </c>
      <c r="L96" s="39">
        <f t="shared" si="20"/>
        <v>0</v>
      </c>
      <c r="M96" s="39">
        <f t="shared" si="21"/>
        <v>1.1188793103448278</v>
      </c>
      <c r="N96" s="39">
        <f t="shared" si="22"/>
        <v>731</v>
      </c>
      <c r="O96" s="39">
        <f t="shared" si="23"/>
        <v>833.01155172413792</v>
      </c>
      <c r="P96" s="39">
        <f t="shared" si="24"/>
        <v>1564.0115517241379</v>
      </c>
      <c r="Q96" s="39">
        <f t="shared" si="25"/>
        <v>731</v>
      </c>
      <c r="R96" s="39">
        <f t="shared" si="26"/>
        <v>753.00577586206907</v>
      </c>
      <c r="S96" s="40">
        <f t="shared" si="27"/>
        <v>1484.0057758620692</v>
      </c>
      <c r="T96">
        <f t="shared" si="28"/>
        <v>1564.0115517241379</v>
      </c>
      <c r="U96">
        <f t="shared" si="29"/>
        <v>1484.0057758620692</v>
      </c>
      <c r="V96">
        <f>IF(AND(settings!$D$4=0,settings!$D$7=0),'Small Dist Weight'!P96,IF(AND(settings!$D$4=0,settings!$D$7=1),T96,IF(AND(settings!$D$4=1,settings!$D$7=0),S96,U96)))</f>
        <v>1484.0057758620692</v>
      </c>
    </row>
    <row r="97" spans="1:22">
      <c r="A97" t="str">
        <f>'Student Enrollment Data'!A99</f>
        <v>382</v>
      </c>
      <c r="B97">
        <f>'Student Enrollment Data'!B99</f>
        <v>382</v>
      </c>
      <c r="C97" t="str">
        <f>'Student Enrollment Data'!C99</f>
        <v>Rockland School District # 382</v>
      </c>
      <c r="D97">
        <v>0</v>
      </c>
      <c r="E97" s="37">
        <f>IF(settings!$G$4=0,'Student Enrollment Data'!BA99,'Student Enrollment Data'!CN99)</f>
        <v>80</v>
      </c>
      <c r="F97" s="37">
        <f>IF(settings!$G$4=0,'Student Enrollment Data'!BB99,'Student Enrollment Data'!CO99)</f>
        <v>100</v>
      </c>
      <c r="G97" s="37">
        <f t="shared" si="15"/>
        <v>1</v>
      </c>
      <c r="H97" s="37">
        <f t="shared" si="16"/>
        <v>1</v>
      </c>
      <c r="I97" s="37">
        <f t="shared" si="17"/>
        <v>1</v>
      </c>
      <c r="J97" s="39">
        <f t="shared" si="18"/>
        <v>1.7954545454545454</v>
      </c>
      <c r="K97" s="39">
        <f t="shared" si="19"/>
        <v>1.9293103448275861</v>
      </c>
      <c r="L97" s="39">
        <f t="shared" si="20"/>
        <v>1.6681818181818182</v>
      </c>
      <c r="M97" s="39">
        <f t="shared" si="21"/>
        <v>1.8689655172413793</v>
      </c>
      <c r="N97" s="39">
        <f t="shared" si="22"/>
        <v>143.63636363636363</v>
      </c>
      <c r="O97" s="39">
        <f t="shared" si="23"/>
        <v>192.93103448275861</v>
      </c>
      <c r="P97" s="39">
        <f t="shared" si="24"/>
        <v>336.56739811912223</v>
      </c>
      <c r="Q97" s="39">
        <f t="shared" si="25"/>
        <v>133.45454545454547</v>
      </c>
      <c r="R97" s="39">
        <f t="shared" si="26"/>
        <v>186.89655172413794</v>
      </c>
      <c r="S97" s="40">
        <f t="shared" si="27"/>
        <v>320.3510971786834</v>
      </c>
      <c r="T97">
        <f t="shared" si="28"/>
        <v>336.56739811912223</v>
      </c>
      <c r="U97">
        <f t="shared" si="29"/>
        <v>320.3510971786834</v>
      </c>
      <c r="V97">
        <f>IF(AND(settings!$D$4=0,settings!$D$7=0),'Small Dist Weight'!P97,IF(AND(settings!$D$4=0,settings!$D$7=1),T97,IF(AND(settings!$D$4=1,settings!$D$7=0),S97,U97)))</f>
        <v>320.3510971786834</v>
      </c>
    </row>
    <row r="98" spans="1:22">
      <c r="A98" t="str">
        <f>'Student Enrollment Data'!A100</f>
        <v>383</v>
      </c>
      <c r="B98">
        <f>'Student Enrollment Data'!B100</f>
        <v>383</v>
      </c>
      <c r="C98" t="str">
        <f>'Student Enrollment Data'!C100</f>
        <v>Arbon Elementary School District # 383</v>
      </c>
      <c r="D98">
        <v>0</v>
      </c>
      <c r="E98" s="37">
        <f>IF(settings!$G$4=0,'Student Enrollment Data'!BA100,'Student Enrollment Data'!CN100)</f>
        <v>15.5</v>
      </c>
      <c r="F98" s="37">
        <f>IF(settings!$G$4=0,'Student Enrollment Data'!BB100,'Student Enrollment Data'!CO100)</f>
        <v>0</v>
      </c>
      <c r="G98" s="37">
        <f t="shared" si="15"/>
        <v>1</v>
      </c>
      <c r="H98" s="37">
        <f t="shared" si="16"/>
        <v>1</v>
      </c>
      <c r="I98" s="37">
        <f t="shared" si="17"/>
        <v>1</v>
      </c>
      <c r="J98" s="39">
        <f t="shared" si="18"/>
        <v>2.0499999999999998</v>
      </c>
      <c r="K98" s="39">
        <f t="shared" si="19"/>
        <v>2.0499999999999998</v>
      </c>
      <c r="L98" s="39">
        <f t="shared" si="20"/>
        <v>2.0499999999999998</v>
      </c>
      <c r="M98" s="39">
        <f t="shared" si="21"/>
        <v>2.0499999999999998</v>
      </c>
      <c r="N98" s="39">
        <f t="shared" si="22"/>
        <v>31.774999999999999</v>
      </c>
      <c r="O98" s="39">
        <f t="shared" si="23"/>
        <v>0</v>
      </c>
      <c r="P98" s="39">
        <f t="shared" si="24"/>
        <v>31.774999999999999</v>
      </c>
      <c r="Q98" s="39">
        <f t="shared" si="25"/>
        <v>31.774999999999999</v>
      </c>
      <c r="R98" s="39">
        <f t="shared" si="26"/>
        <v>0</v>
      </c>
      <c r="S98" s="40">
        <f t="shared" si="27"/>
        <v>31.774999999999999</v>
      </c>
      <c r="T98">
        <f t="shared" si="28"/>
        <v>31.774999999999999</v>
      </c>
      <c r="U98">
        <f t="shared" si="29"/>
        <v>31.774999999999999</v>
      </c>
      <c r="V98">
        <f>IF(AND(settings!$D$4=0,settings!$D$7=0),'Small Dist Weight'!P98,IF(AND(settings!$D$4=0,settings!$D$7=1),T98,IF(AND(settings!$D$4=1,settings!$D$7=0),S98,U98)))</f>
        <v>31.774999999999999</v>
      </c>
    </row>
    <row r="99" spans="1:22">
      <c r="A99" t="str">
        <f>'Student Enrollment Data'!A101</f>
        <v>391</v>
      </c>
      <c r="B99">
        <f>'Student Enrollment Data'!B101</f>
        <v>391</v>
      </c>
      <c r="C99" t="str">
        <f>'Student Enrollment Data'!C101</f>
        <v>Kellogg Joint School District # 391</v>
      </c>
      <c r="D99">
        <v>0</v>
      </c>
      <c r="E99" s="37">
        <f>IF(settings!$G$4=0,'Student Enrollment Data'!BA101,'Student Enrollment Data'!CN101)</f>
        <v>558</v>
      </c>
      <c r="F99" s="37">
        <f>IF(settings!$G$4=0,'Student Enrollment Data'!BB101,'Student Enrollment Data'!CO101)</f>
        <v>490</v>
      </c>
      <c r="G99" s="37">
        <f t="shared" si="15"/>
        <v>0</v>
      </c>
      <c r="H99" s="37">
        <f t="shared" si="16"/>
        <v>1</v>
      </c>
      <c r="I99" s="37">
        <f t="shared" si="17"/>
        <v>0</v>
      </c>
      <c r="J99" s="39" t="str">
        <f t="shared" si="18"/>
        <v/>
      </c>
      <c r="K99" s="39">
        <f t="shared" si="19"/>
        <v>1.4586206896551723</v>
      </c>
      <c r="L99" s="39">
        <f t="shared" si="20"/>
        <v>0</v>
      </c>
      <c r="M99" s="39">
        <f t="shared" si="21"/>
        <v>1.2293103448275864</v>
      </c>
      <c r="N99" s="39">
        <f t="shared" si="22"/>
        <v>558</v>
      </c>
      <c r="O99" s="39">
        <f t="shared" si="23"/>
        <v>714.72413793103442</v>
      </c>
      <c r="P99" s="39">
        <f t="shared" si="24"/>
        <v>1272.7241379310344</v>
      </c>
      <c r="Q99" s="39">
        <f t="shared" si="25"/>
        <v>558</v>
      </c>
      <c r="R99" s="39">
        <f t="shared" si="26"/>
        <v>602.36206896551732</v>
      </c>
      <c r="S99" s="40">
        <f t="shared" si="27"/>
        <v>1160.3620689655172</v>
      </c>
      <c r="T99">
        <f t="shared" si="28"/>
        <v>1272.7241379310344</v>
      </c>
      <c r="U99">
        <f t="shared" si="29"/>
        <v>1160.3620689655172</v>
      </c>
      <c r="V99">
        <f>IF(AND(settings!$D$4=0,settings!$D$7=0),'Small Dist Weight'!P99,IF(AND(settings!$D$4=0,settings!$D$7=1),T99,IF(AND(settings!$D$4=1,settings!$D$7=0),S99,U99)))</f>
        <v>1160.3620689655172</v>
      </c>
    </row>
    <row r="100" spans="1:22">
      <c r="A100" t="str">
        <f>'Student Enrollment Data'!A102</f>
        <v>392</v>
      </c>
      <c r="B100">
        <f>'Student Enrollment Data'!B102</f>
        <v>392</v>
      </c>
      <c r="C100" t="str">
        <f>'Student Enrollment Data'!C102</f>
        <v>Mullan School District # 392</v>
      </c>
      <c r="D100">
        <v>0</v>
      </c>
      <c r="E100" s="37">
        <f>IF(settings!$G$4=0,'Student Enrollment Data'!BA102,'Student Enrollment Data'!CN102)</f>
        <v>46</v>
      </c>
      <c r="F100" s="37">
        <f>IF(settings!$G$4=0,'Student Enrollment Data'!BB102,'Student Enrollment Data'!CO102)</f>
        <v>100</v>
      </c>
      <c r="G100" s="37">
        <f t="shared" si="15"/>
        <v>1</v>
      </c>
      <c r="H100" s="37">
        <f t="shared" si="16"/>
        <v>1</v>
      </c>
      <c r="I100" s="37">
        <f t="shared" si="17"/>
        <v>1</v>
      </c>
      <c r="J100" s="39">
        <f t="shared" si="18"/>
        <v>1.9036363636363638</v>
      </c>
      <c r="K100" s="39">
        <f t="shared" si="19"/>
        <v>1.9293103448275861</v>
      </c>
      <c r="L100" s="39">
        <f t="shared" si="20"/>
        <v>1.8304545454545456</v>
      </c>
      <c r="M100" s="39">
        <f t="shared" si="21"/>
        <v>1.8689655172413793</v>
      </c>
      <c r="N100" s="39">
        <f t="shared" si="22"/>
        <v>87.567272727272737</v>
      </c>
      <c r="O100" s="39">
        <f t="shared" si="23"/>
        <v>192.93103448275861</v>
      </c>
      <c r="P100" s="39">
        <f t="shared" si="24"/>
        <v>280.49830721003133</v>
      </c>
      <c r="Q100" s="39">
        <f t="shared" si="25"/>
        <v>84.200909090909093</v>
      </c>
      <c r="R100" s="39">
        <f t="shared" si="26"/>
        <v>186.89655172413794</v>
      </c>
      <c r="S100" s="40">
        <f t="shared" si="27"/>
        <v>271.09746081504704</v>
      </c>
      <c r="T100">
        <f t="shared" si="28"/>
        <v>280.49830721003133</v>
      </c>
      <c r="U100">
        <f t="shared" si="29"/>
        <v>271.09746081504704</v>
      </c>
      <c r="V100">
        <f>IF(AND(settings!$D$4=0,settings!$D$7=0),'Small Dist Weight'!P100,IF(AND(settings!$D$4=0,settings!$D$7=1),T100,IF(AND(settings!$D$4=1,settings!$D$7=0),S100,U100)))</f>
        <v>271.09746081504704</v>
      </c>
    </row>
    <row r="101" spans="1:22">
      <c r="A101" t="str">
        <f>'Student Enrollment Data'!A103</f>
        <v>393</v>
      </c>
      <c r="B101">
        <f>'Student Enrollment Data'!B103</f>
        <v>393</v>
      </c>
      <c r="C101" t="str">
        <f>'Student Enrollment Data'!C103</f>
        <v>Wallace School District # 393</v>
      </c>
      <c r="D101">
        <v>0</v>
      </c>
      <c r="E101" s="37">
        <f>IF(settings!$G$4=0,'Student Enrollment Data'!BA103,'Student Enrollment Data'!CN103)</f>
        <v>239.5</v>
      </c>
      <c r="F101" s="37">
        <f>IF(settings!$G$4=0,'Student Enrollment Data'!BB103,'Student Enrollment Data'!CO103)</f>
        <v>220</v>
      </c>
      <c r="G101" s="37">
        <f t="shared" si="15"/>
        <v>1</v>
      </c>
      <c r="H101" s="37">
        <f t="shared" si="16"/>
        <v>1</v>
      </c>
      <c r="I101" s="37">
        <f t="shared" si="17"/>
        <v>1</v>
      </c>
      <c r="J101" s="39">
        <f t="shared" si="18"/>
        <v>1.2879545454545456</v>
      </c>
      <c r="K101" s="39">
        <f t="shared" si="19"/>
        <v>1.7844827586206897</v>
      </c>
      <c r="L101" s="39">
        <f t="shared" si="20"/>
        <v>1.1439772727272728</v>
      </c>
      <c r="M101" s="39">
        <f t="shared" si="21"/>
        <v>1.6517241379310346</v>
      </c>
      <c r="N101" s="39">
        <f t="shared" si="22"/>
        <v>308.46511363636364</v>
      </c>
      <c r="O101" s="39">
        <f t="shared" si="23"/>
        <v>392.58620689655174</v>
      </c>
      <c r="P101" s="39">
        <f t="shared" si="24"/>
        <v>701.05132053291538</v>
      </c>
      <c r="Q101" s="39">
        <f t="shared" si="25"/>
        <v>273.98255681818182</v>
      </c>
      <c r="R101" s="39">
        <f t="shared" si="26"/>
        <v>363.37931034482762</v>
      </c>
      <c r="S101" s="40">
        <f t="shared" si="27"/>
        <v>637.36186716300949</v>
      </c>
      <c r="T101">
        <f t="shared" si="28"/>
        <v>701.05132053291538</v>
      </c>
      <c r="U101">
        <f t="shared" si="29"/>
        <v>637.36186716300949</v>
      </c>
      <c r="V101">
        <f>IF(AND(settings!$D$4=0,settings!$D$7=0),'Small Dist Weight'!P101,IF(AND(settings!$D$4=0,settings!$D$7=1),T101,IF(AND(settings!$D$4=1,settings!$D$7=0),S101,U101)))</f>
        <v>637.36186716300949</v>
      </c>
    </row>
    <row r="102" spans="1:22">
      <c r="A102" t="str">
        <f>'Student Enrollment Data'!A104</f>
        <v>394</v>
      </c>
      <c r="B102">
        <f>'Student Enrollment Data'!B104</f>
        <v>394</v>
      </c>
      <c r="C102" t="str">
        <f>'Student Enrollment Data'!C104</f>
        <v>Avery School District # 394</v>
      </c>
      <c r="D102">
        <v>0</v>
      </c>
      <c r="E102" s="37">
        <f>IF(settings!$G$4=0,'Student Enrollment Data'!BA104,'Student Enrollment Data'!CN104)</f>
        <v>15</v>
      </c>
      <c r="F102" s="37">
        <f>IF(settings!$G$4=0,'Student Enrollment Data'!BB104,'Student Enrollment Data'!CO104)</f>
        <v>2</v>
      </c>
      <c r="G102" s="37">
        <f t="shared" si="15"/>
        <v>1</v>
      </c>
      <c r="H102" s="37">
        <f t="shared" si="16"/>
        <v>1</v>
      </c>
      <c r="I102" s="37">
        <f t="shared" si="17"/>
        <v>1</v>
      </c>
      <c r="J102" s="39">
        <f t="shared" si="18"/>
        <v>2.0499999999999998</v>
      </c>
      <c r="K102" s="39">
        <f t="shared" si="19"/>
        <v>2.0499999999999998</v>
      </c>
      <c r="L102" s="39">
        <f t="shared" si="20"/>
        <v>2.0499999999999998</v>
      </c>
      <c r="M102" s="39">
        <f t="shared" si="21"/>
        <v>2.0499999999999998</v>
      </c>
      <c r="N102" s="39">
        <f t="shared" si="22"/>
        <v>30.749999999999996</v>
      </c>
      <c r="O102" s="39">
        <f t="shared" si="23"/>
        <v>4.0999999999999996</v>
      </c>
      <c r="P102" s="39">
        <f t="shared" si="24"/>
        <v>34.849999999999994</v>
      </c>
      <c r="Q102" s="39">
        <f t="shared" si="25"/>
        <v>30.749999999999996</v>
      </c>
      <c r="R102" s="39">
        <f t="shared" si="26"/>
        <v>4.0999999999999996</v>
      </c>
      <c r="S102" s="40">
        <f t="shared" si="27"/>
        <v>34.849999999999994</v>
      </c>
      <c r="T102">
        <f t="shared" si="28"/>
        <v>34.849999999999994</v>
      </c>
      <c r="U102">
        <f t="shared" si="29"/>
        <v>34.849999999999994</v>
      </c>
      <c r="V102">
        <f>IF(AND(settings!$D$4=0,settings!$D$7=0),'Small Dist Weight'!P102,IF(AND(settings!$D$4=0,settings!$D$7=1),T102,IF(AND(settings!$D$4=1,settings!$D$7=0),S102,U102)))</f>
        <v>34.849999999999994</v>
      </c>
    </row>
    <row r="103" spans="1:22">
      <c r="A103" t="str">
        <f>'Student Enrollment Data'!A105</f>
        <v>401</v>
      </c>
      <c r="B103">
        <f>'Student Enrollment Data'!B105</f>
        <v>401</v>
      </c>
      <c r="C103" t="str">
        <f>'Student Enrollment Data'!C105</f>
        <v>Teton County School District # 401</v>
      </c>
      <c r="D103">
        <v>0</v>
      </c>
      <c r="E103" s="37">
        <f>IF(settings!$G$4=0,'Student Enrollment Data'!BA105,'Student Enrollment Data'!CN105)</f>
        <v>939</v>
      </c>
      <c r="F103" s="37">
        <f>IF(settings!$G$4=0,'Student Enrollment Data'!BB105,'Student Enrollment Data'!CO105)</f>
        <v>808</v>
      </c>
      <c r="G103" s="37">
        <f t="shared" si="15"/>
        <v>0</v>
      </c>
      <c r="H103" s="37">
        <f t="shared" si="16"/>
        <v>1</v>
      </c>
      <c r="I103" s="37">
        <f t="shared" si="17"/>
        <v>0</v>
      </c>
      <c r="J103" s="39" t="str">
        <f t="shared" si="18"/>
        <v/>
      </c>
      <c r="K103" s="39">
        <f t="shared" si="19"/>
        <v>1.0748275862068966</v>
      </c>
      <c r="L103" s="39">
        <f t="shared" si="20"/>
        <v>0</v>
      </c>
      <c r="M103" s="39">
        <f t="shared" si="21"/>
        <v>1.0374137931034484</v>
      </c>
      <c r="N103" s="39">
        <f t="shared" si="22"/>
        <v>939</v>
      </c>
      <c r="O103" s="39">
        <f t="shared" si="23"/>
        <v>868.46068965517247</v>
      </c>
      <c r="P103" s="39">
        <f t="shared" si="24"/>
        <v>1807.4606896551725</v>
      </c>
      <c r="Q103" s="39">
        <f t="shared" si="25"/>
        <v>939</v>
      </c>
      <c r="R103" s="39">
        <f t="shared" si="26"/>
        <v>838.23034482758635</v>
      </c>
      <c r="S103" s="40">
        <f t="shared" si="27"/>
        <v>1777.2303448275864</v>
      </c>
      <c r="T103">
        <f t="shared" si="28"/>
        <v>1807.4606896551725</v>
      </c>
      <c r="U103">
        <f t="shared" si="29"/>
        <v>1777.2303448275864</v>
      </c>
      <c r="V103">
        <f>IF(AND(settings!$D$4=0,settings!$D$7=0),'Small Dist Weight'!P103,IF(AND(settings!$D$4=0,settings!$D$7=1),T103,IF(AND(settings!$D$4=1,settings!$D$7=0),S103,U103)))</f>
        <v>1777.2303448275864</v>
      </c>
    </row>
    <row r="104" spans="1:22">
      <c r="A104" t="str">
        <f>'Student Enrollment Data'!A106</f>
        <v>411</v>
      </c>
      <c r="B104">
        <f>'Student Enrollment Data'!B106</f>
        <v>411</v>
      </c>
      <c r="C104" t="str">
        <f>'Student Enrollment Data'!C106</f>
        <v>Twin Falls School District # 411</v>
      </c>
      <c r="D104">
        <v>0</v>
      </c>
      <c r="E104" s="37">
        <f>IF(settings!$G$4=0,'Student Enrollment Data'!BA106,'Student Enrollment Data'!CN106)</f>
        <v>5016</v>
      </c>
      <c r="F104" s="37">
        <f>IF(settings!$G$4=0,'Student Enrollment Data'!BB106,'Student Enrollment Data'!CO106)</f>
        <v>4007</v>
      </c>
      <c r="G104" s="37">
        <f t="shared" si="15"/>
        <v>0</v>
      </c>
      <c r="H104" s="37">
        <f t="shared" si="16"/>
        <v>0</v>
      </c>
      <c r="I104" s="37">
        <f t="shared" si="17"/>
        <v>0</v>
      </c>
      <c r="J104" s="39" t="str">
        <f t="shared" si="18"/>
        <v/>
      </c>
      <c r="K104" s="39" t="str">
        <f t="shared" si="19"/>
        <v/>
      </c>
      <c r="L104" s="39">
        <f t="shared" si="20"/>
        <v>0</v>
      </c>
      <c r="M104" s="39">
        <f t="shared" si="21"/>
        <v>0</v>
      </c>
      <c r="N104" s="39">
        <f t="shared" si="22"/>
        <v>5016</v>
      </c>
      <c r="O104" s="39">
        <f t="shared" si="23"/>
        <v>4007</v>
      </c>
      <c r="P104" s="39">
        <f t="shared" si="24"/>
        <v>9023</v>
      </c>
      <c r="Q104" s="39">
        <f t="shared" si="25"/>
        <v>5016</v>
      </c>
      <c r="R104" s="39">
        <f t="shared" si="26"/>
        <v>4007</v>
      </c>
      <c r="S104" s="40">
        <f t="shared" si="27"/>
        <v>9023</v>
      </c>
      <c r="T104">
        <f t="shared" si="28"/>
        <v>9023</v>
      </c>
      <c r="U104">
        <f t="shared" si="29"/>
        <v>9023</v>
      </c>
      <c r="V104">
        <f>IF(AND(settings!$D$4=0,settings!$D$7=0),'Small Dist Weight'!P104,IF(AND(settings!$D$4=0,settings!$D$7=1),T104,IF(AND(settings!$D$4=1,settings!$D$7=0),S104,U104)))</f>
        <v>9023</v>
      </c>
    </row>
    <row r="105" spans="1:22">
      <c r="A105" t="str">
        <f>'Student Enrollment Data'!A107</f>
        <v>412</v>
      </c>
      <c r="B105">
        <f>'Student Enrollment Data'!B107</f>
        <v>412</v>
      </c>
      <c r="C105" t="str">
        <f>'Student Enrollment Data'!C107</f>
        <v>Buhl Joint School District # 412</v>
      </c>
      <c r="D105">
        <v>0</v>
      </c>
      <c r="E105" s="37">
        <f>IF(settings!$G$4=0,'Student Enrollment Data'!BA107,'Student Enrollment Data'!CN107)</f>
        <v>653.5</v>
      </c>
      <c r="F105" s="37">
        <f>IF(settings!$G$4=0,'Student Enrollment Data'!BB107,'Student Enrollment Data'!CO107)</f>
        <v>554</v>
      </c>
      <c r="G105" s="37">
        <f t="shared" si="15"/>
        <v>0</v>
      </c>
      <c r="H105" s="37">
        <f t="shared" si="16"/>
        <v>1</v>
      </c>
      <c r="I105" s="37">
        <f t="shared" si="17"/>
        <v>0</v>
      </c>
      <c r="J105" s="39" t="str">
        <f t="shared" si="18"/>
        <v/>
      </c>
      <c r="K105" s="39">
        <f t="shared" si="19"/>
        <v>1.3813793103448275</v>
      </c>
      <c r="L105" s="39">
        <f t="shared" si="20"/>
        <v>0</v>
      </c>
      <c r="M105" s="39">
        <f t="shared" si="21"/>
        <v>1.190689655172414</v>
      </c>
      <c r="N105" s="39">
        <f t="shared" si="22"/>
        <v>653.5</v>
      </c>
      <c r="O105" s="39">
        <f t="shared" si="23"/>
        <v>765.28413793103448</v>
      </c>
      <c r="P105" s="39">
        <f t="shared" si="24"/>
        <v>1418.7841379310344</v>
      </c>
      <c r="Q105" s="39">
        <f t="shared" si="25"/>
        <v>653.5</v>
      </c>
      <c r="R105" s="39">
        <f t="shared" si="26"/>
        <v>659.6420689655173</v>
      </c>
      <c r="S105" s="40">
        <f t="shared" si="27"/>
        <v>1313.1420689655174</v>
      </c>
      <c r="T105">
        <f t="shared" si="28"/>
        <v>1418.7841379310344</v>
      </c>
      <c r="U105">
        <f t="shared" si="29"/>
        <v>1313.1420689655174</v>
      </c>
      <c r="V105">
        <f>IF(AND(settings!$D$4=0,settings!$D$7=0),'Small Dist Weight'!P105,IF(AND(settings!$D$4=0,settings!$D$7=1),T105,IF(AND(settings!$D$4=1,settings!$D$7=0),S105,U105)))</f>
        <v>1313.1420689655174</v>
      </c>
    </row>
    <row r="106" spans="1:22">
      <c r="A106" t="str">
        <f>'Student Enrollment Data'!A108</f>
        <v>413</v>
      </c>
      <c r="B106">
        <f>'Student Enrollment Data'!B108</f>
        <v>413</v>
      </c>
      <c r="C106" t="str">
        <f>'Student Enrollment Data'!C108</f>
        <v>Filer School District # 413</v>
      </c>
      <c r="D106">
        <v>0</v>
      </c>
      <c r="E106" s="37">
        <f>IF(settings!$G$4=0,'Student Enrollment Data'!BA108,'Student Enrollment Data'!CN108)</f>
        <v>806.5</v>
      </c>
      <c r="F106" s="37">
        <f>IF(settings!$G$4=0,'Student Enrollment Data'!BB108,'Student Enrollment Data'!CO108)</f>
        <v>789</v>
      </c>
      <c r="G106" s="37">
        <f t="shared" si="15"/>
        <v>0</v>
      </c>
      <c r="H106" s="37">
        <f t="shared" si="16"/>
        <v>1</v>
      </c>
      <c r="I106" s="37">
        <f t="shared" si="17"/>
        <v>0</v>
      </c>
      <c r="J106" s="39" t="str">
        <f t="shared" si="18"/>
        <v/>
      </c>
      <c r="K106" s="39">
        <f t="shared" si="19"/>
        <v>1.097758620689655</v>
      </c>
      <c r="L106" s="39">
        <f t="shared" si="20"/>
        <v>0</v>
      </c>
      <c r="M106" s="39">
        <f t="shared" si="21"/>
        <v>1.0488793103448277</v>
      </c>
      <c r="N106" s="39">
        <f t="shared" si="22"/>
        <v>806.5</v>
      </c>
      <c r="O106" s="39">
        <f t="shared" si="23"/>
        <v>866.13155172413781</v>
      </c>
      <c r="P106" s="39">
        <f t="shared" si="24"/>
        <v>1672.6315517241378</v>
      </c>
      <c r="Q106" s="39">
        <f t="shared" si="25"/>
        <v>806.5</v>
      </c>
      <c r="R106" s="39">
        <f t="shared" si="26"/>
        <v>827.56577586206913</v>
      </c>
      <c r="S106" s="40">
        <f t="shared" si="27"/>
        <v>1634.0657758620691</v>
      </c>
      <c r="T106">
        <f t="shared" si="28"/>
        <v>1672.6315517241378</v>
      </c>
      <c r="U106">
        <f t="shared" si="29"/>
        <v>1634.0657758620691</v>
      </c>
      <c r="V106">
        <f>IF(AND(settings!$D$4=0,settings!$D$7=0),'Small Dist Weight'!P106,IF(AND(settings!$D$4=0,settings!$D$7=1),T106,IF(AND(settings!$D$4=1,settings!$D$7=0),S106,U106)))</f>
        <v>1634.0657758620691</v>
      </c>
    </row>
    <row r="107" spans="1:22">
      <c r="A107" t="str">
        <f>'Student Enrollment Data'!A109</f>
        <v>414</v>
      </c>
      <c r="B107">
        <f>'Student Enrollment Data'!B109</f>
        <v>414</v>
      </c>
      <c r="C107" t="str">
        <f>'Student Enrollment Data'!C109</f>
        <v>Kimberly School District # 414</v>
      </c>
      <c r="D107">
        <v>0</v>
      </c>
      <c r="E107" s="37">
        <f>IF(settings!$G$4=0,'Student Enrollment Data'!BA109,'Student Enrollment Data'!CN109)</f>
        <v>1048</v>
      </c>
      <c r="F107" s="37">
        <f>IF(settings!$G$4=0,'Student Enrollment Data'!BB109,'Student Enrollment Data'!CO109)</f>
        <v>848</v>
      </c>
      <c r="G107" s="37">
        <f t="shared" si="15"/>
        <v>0</v>
      </c>
      <c r="H107" s="37">
        <f t="shared" si="16"/>
        <v>1</v>
      </c>
      <c r="I107" s="37">
        <f t="shared" si="17"/>
        <v>0</v>
      </c>
      <c r="J107" s="39" t="str">
        <f t="shared" si="18"/>
        <v/>
      </c>
      <c r="K107" s="39">
        <f t="shared" si="19"/>
        <v>1.0265517241379309</v>
      </c>
      <c r="L107" s="39">
        <f t="shared" si="20"/>
        <v>0</v>
      </c>
      <c r="M107" s="39">
        <f t="shared" si="21"/>
        <v>1.0132758620689657</v>
      </c>
      <c r="N107" s="39">
        <f t="shared" si="22"/>
        <v>1048</v>
      </c>
      <c r="O107" s="39">
        <f t="shared" si="23"/>
        <v>870.51586206896548</v>
      </c>
      <c r="P107" s="39">
        <f t="shared" si="24"/>
        <v>1918.5158620689654</v>
      </c>
      <c r="Q107" s="39">
        <f t="shared" si="25"/>
        <v>1048</v>
      </c>
      <c r="R107" s="39">
        <f t="shared" si="26"/>
        <v>859.25793103448291</v>
      </c>
      <c r="S107" s="40">
        <f t="shared" si="27"/>
        <v>1907.2579310344829</v>
      </c>
      <c r="T107">
        <f t="shared" si="28"/>
        <v>1918.5158620689654</v>
      </c>
      <c r="U107">
        <f t="shared" si="29"/>
        <v>1907.2579310344829</v>
      </c>
      <c r="V107">
        <f>IF(AND(settings!$D$4=0,settings!$D$7=0),'Small Dist Weight'!P107,IF(AND(settings!$D$4=0,settings!$D$7=1),T107,IF(AND(settings!$D$4=1,settings!$D$7=0),S107,U107)))</f>
        <v>1907.2579310344829</v>
      </c>
    </row>
    <row r="108" spans="1:22">
      <c r="A108" t="str">
        <f>'Student Enrollment Data'!A110</f>
        <v>415</v>
      </c>
      <c r="B108">
        <f>'Student Enrollment Data'!B110</f>
        <v>415</v>
      </c>
      <c r="C108" t="str">
        <f>'Student Enrollment Data'!C110</f>
        <v>Hansen School District # 415</v>
      </c>
      <c r="D108">
        <v>0</v>
      </c>
      <c r="E108" s="37">
        <f>IF(settings!$G$4=0,'Student Enrollment Data'!BA110,'Student Enrollment Data'!CN110)</f>
        <v>152.5</v>
      </c>
      <c r="F108" s="37">
        <f>IF(settings!$G$4=0,'Student Enrollment Data'!BB110,'Student Enrollment Data'!CO110)</f>
        <v>134</v>
      </c>
      <c r="G108" s="37">
        <f t="shared" si="15"/>
        <v>1</v>
      </c>
      <c r="H108" s="37">
        <f t="shared" si="16"/>
        <v>1</v>
      </c>
      <c r="I108" s="37">
        <f t="shared" si="17"/>
        <v>1</v>
      </c>
      <c r="J108" s="39">
        <f t="shared" si="18"/>
        <v>1.5647727272727274</v>
      </c>
      <c r="K108" s="39">
        <f t="shared" si="19"/>
        <v>1.8882758620689657</v>
      </c>
      <c r="L108" s="39">
        <f t="shared" si="20"/>
        <v>1.322159090909091</v>
      </c>
      <c r="M108" s="39">
        <f t="shared" si="21"/>
        <v>1.8074137931034482</v>
      </c>
      <c r="N108" s="39">
        <f t="shared" si="22"/>
        <v>238.62784090909093</v>
      </c>
      <c r="O108" s="39">
        <f t="shared" si="23"/>
        <v>253.0289655172414</v>
      </c>
      <c r="P108" s="39">
        <f t="shared" si="24"/>
        <v>491.65680642633231</v>
      </c>
      <c r="Q108" s="39">
        <f t="shared" si="25"/>
        <v>201.62926136363637</v>
      </c>
      <c r="R108" s="39">
        <f t="shared" si="26"/>
        <v>242.19344827586207</v>
      </c>
      <c r="S108" s="40">
        <f t="shared" si="27"/>
        <v>443.82270963949844</v>
      </c>
      <c r="T108">
        <f t="shared" si="28"/>
        <v>491.65680642633231</v>
      </c>
      <c r="U108">
        <f t="shared" si="29"/>
        <v>443.82270963949844</v>
      </c>
      <c r="V108">
        <f>IF(AND(settings!$D$4=0,settings!$D$7=0),'Small Dist Weight'!P108,IF(AND(settings!$D$4=0,settings!$D$7=1),T108,IF(AND(settings!$D$4=1,settings!$D$7=0),S108,U108)))</f>
        <v>443.82270963949844</v>
      </c>
    </row>
    <row r="109" spans="1:22">
      <c r="A109" t="str">
        <f>'Student Enrollment Data'!A111</f>
        <v>416</v>
      </c>
      <c r="B109">
        <f>'Student Enrollment Data'!B111</f>
        <v>416</v>
      </c>
      <c r="C109" t="str">
        <f>'Student Enrollment Data'!C111</f>
        <v>Three Creek Joint Elem. School District # 416</v>
      </c>
      <c r="D109">
        <v>0</v>
      </c>
      <c r="E109" s="37">
        <f>IF(settings!$G$4=0,'Student Enrollment Data'!BA111,'Student Enrollment Data'!CN111)</f>
        <v>3.5</v>
      </c>
      <c r="F109" s="37">
        <f>IF(settings!$G$4=0,'Student Enrollment Data'!BB111,'Student Enrollment Data'!CO111)</f>
        <v>2</v>
      </c>
      <c r="G109" s="37">
        <f t="shared" si="15"/>
        <v>1</v>
      </c>
      <c r="H109" s="37">
        <f t="shared" si="16"/>
        <v>1</v>
      </c>
      <c r="I109" s="37">
        <f t="shared" si="17"/>
        <v>1</v>
      </c>
      <c r="J109" s="39">
        <f t="shared" si="18"/>
        <v>2.0499999999999998</v>
      </c>
      <c r="K109" s="39">
        <f t="shared" si="19"/>
        <v>2.0499999999999998</v>
      </c>
      <c r="L109" s="39">
        <f t="shared" si="20"/>
        <v>2.0499999999999998</v>
      </c>
      <c r="M109" s="39">
        <f t="shared" si="21"/>
        <v>2.0499999999999998</v>
      </c>
      <c r="N109" s="39">
        <f t="shared" si="22"/>
        <v>7.1749999999999989</v>
      </c>
      <c r="O109" s="39">
        <f t="shared" si="23"/>
        <v>4.0999999999999996</v>
      </c>
      <c r="P109" s="39">
        <f t="shared" si="24"/>
        <v>11.274999999999999</v>
      </c>
      <c r="Q109" s="39">
        <f t="shared" si="25"/>
        <v>7.1749999999999989</v>
      </c>
      <c r="R109" s="39">
        <f t="shared" si="26"/>
        <v>4.0999999999999996</v>
      </c>
      <c r="S109" s="40">
        <f t="shared" si="27"/>
        <v>11.274999999999999</v>
      </c>
      <c r="T109">
        <f t="shared" si="28"/>
        <v>11.274999999999999</v>
      </c>
      <c r="U109">
        <f t="shared" si="29"/>
        <v>11.274999999999999</v>
      </c>
      <c r="V109">
        <f>IF(AND(settings!$D$4=0,settings!$D$7=0),'Small Dist Weight'!P109,IF(AND(settings!$D$4=0,settings!$D$7=1),T109,IF(AND(settings!$D$4=1,settings!$D$7=0),S109,U109)))</f>
        <v>11.274999999999999</v>
      </c>
    </row>
    <row r="110" spans="1:22">
      <c r="A110" t="str">
        <f>'Student Enrollment Data'!A112</f>
        <v>417</v>
      </c>
      <c r="B110">
        <f>'Student Enrollment Data'!B112</f>
        <v>417</v>
      </c>
      <c r="C110" t="str">
        <f>'Student Enrollment Data'!C112</f>
        <v>Castleford Joint School District # 417</v>
      </c>
      <c r="D110">
        <v>0</v>
      </c>
      <c r="E110" s="37">
        <f>IF(settings!$G$4=0,'Student Enrollment Data'!BA112,'Student Enrollment Data'!CN112)</f>
        <v>176</v>
      </c>
      <c r="F110" s="37">
        <f>IF(settings!$G$4=0,'Student Enrollment Data'!BB112,'Student Enrollment Data'!CO112)</f>
        <v>162</v>
      </c>
      <c r="G110" s="37">
        <f t="shared" si="15"/>
        <v>1</v>
      </c>
      <c r="H110" s="37">
        <f t="shared" si="16"/>
        <v>1</v>
      </c>
      <c r="I110" s="37">
        <f t="shared" si="17"/>
        <v>1</v>
      </c>
      <c r="J110" s="39">
        <f t="shared" si="18"/>
        <v>1.49</v>
      </c>
      <c r="K110" s="39">
        <f t="shared" si="19"/>
        <v>1.8544827586206898</v>
      </c>
      <c r="L110" s="39">
        <f t="shared" si="20"/>
        <v>1.2450000000000001</v>
      </c>
      <c r="M110" s="39">
        <f t="shared" si="21"/>
        <v>1.7567241379310345</v>
      </c>
      <c r="N110" s="39">
        <f t="shared" si="22"/>
        <v>262.24</v>
      </c>
      <c r="O110" s="39">
        <f t="shared" si="23"/>
        <v>300.42620689655172</v>
      </c>
      <c r="P110" s="39">
        <f t="shared" si="24"/>
        <v>562.66620689655178</v>
      </c>
      <c r="Q110" s="39">
        <f t="shared" si="25"/>
        <v>219.12</v>
      </c>
      <c r="R110" s="39">
        <f t="shared" si="26"/>
        <v>284.5893103448276</v>
      </c>
      <c r="S110" s="40">
        <f t="shared" si="27"/>
        <v>503.7093103448276</v>
      </c>
      <c r="T110">
        <f t="shared" si="28"/>
        <v>562.66620689655178</v>
      </c>
      <c r="U110">
        <f t="shared" si="29"/>
        <v>503.7093103448276</v>
      </c>
      <c r="V110">
        <f>IF(AND(settings!$D$4=0,settings!$D$7=0),'Small Dist Weight'!P110,IF(AND(settings!$D$4=0,settings!$D$7=1),T110,IF(AND(settings!$D$4=1,settings!$D$7=0),S110,U110)))</f>
        <v>503.7093103448276</v>
      </c>
    </row>
    <row r="111" spans="1:22">
      <c r="A111" t="str">
        <f>'Student Enrollment Data'!A113</f>
        <v>418</v>
      </c>
      <c r="B111">
        <f>'Student Enrollment Data'!B113</f>
        <v>418</v>
      </c>
      <c r="C111" t="str">
        <f>'Student Enrollment Data'!C113</f>
        <v>Murtaugh Joint School District # 418</v>
      </c>
      <c r="D111">
        <v>0</v>
      </c>
      <c r="E111" s="37">
        <f>IF(settings!$G$4=0,'Student Enrollment Data'!BA113,'Student Enrollment Data'!CN113)</f>
        <v>213</v>
      </c>
      <c r="F111" s="37">
        <f>IF(settings!$G$4=0,'Student Enrollment Data'!BB113,'Student Enrollment Data'!CO113)</f>
        <v>130</v>
      </c>
      <c r="G111" s="37">
        <f t="shared" si="15"/>
        <v>1</v>
      </c>
      <c r="H111" s="37">
        <f t="shared" si="16"/>
        <v>1</v>
      </c>
      <c r="I111" s="37">
        <f t="shared" si="17"/>
        <v>1</v>
      </c>
      <c r="J111" s="39">
        <f t="shared" si="18"/>
        <v>1.3722727272727273</v>
      </c>
      <c r="K111" s="39">
        <f t="shared" si="19"/>
        <v>1.8931034482758622</v>
      </c>
      <c r="L111" s="39">
        <f t="shared" si="20"/>
        <v>1.1861363636363638</v>
      </c>
      <c r="M111" s="39">
        <f t="shared" si="21"/>
        <v>1.8146551724137931</v>
      </c>
      <c r="N111" s="39">
        <f t="shared" si="22"/>
        <v>292.29409090909093</v>
      </c>
      <c r="O111" s="39">
        <f t="shared" si="23"/>
        <v>246.10344827586209</v>
      </c>
      <c r="P111" s="39">
        <f t="shared" si="24"/>
        <v>538.39753918495308</v>
      </c>
      <c r="Q111" s="39">
        <f t="shared" si="25"/>
        <v>252.64704545454549</v>
      </c>
      <c r="R111" s="39">
        <f t="shared" si="26"/>
        <v>235.90517241379311</v>
      </c>
      <c r="S111" s="40">
        <f t="shared" si="27"/>
        <v>488.55221786833863</v>
      </c>
      <c r="T111">
        <f t="shared" si="28"/>
        <v>538.39753918495308</v>
      </c>
      <c r="U111">
        <f t="shared" si="29"/>
        <v>488.55221786833863</v>
      </c>
      <c r="V111">
        <f>IF(AND(settings!$D$4=0,settings!$D$7=0),'Small Dist Weight'!P111,IF(AND(settings!$D$4=0,settings!$D$7=1),T111,IF(AND(settings!$D$4=1,settings!$D$7=0),S111,U111)))</f>
        <v>488.55221786833863</v>
      </c>
    </row>
    <row r="112" spans="1:22">
      <c r="A112" t="str">
        <f>'Student Enrollment Data'!A114</f>
        <v>421</v>
      </c>
      <c r="B112">
        <f>'Student Enrollment Data'!B114</f>
        <v>421</v>
      </c>
      <c r="C112" t="str">
        <f>'Student Enrollment Data'!C114</f>
        <v>McCall-Donnelly Joint School District # 421</v>
      </c>
      <c r="D112">
        <v>0</v>
      </c>
      <c r="E112" s="37">
        <f>IF(settings!$G$4=0,'Student Enrollment Data'!BA114,'Student Enrollment Data'!CN114)</f>
        <v>653</v>
      </c>
      <c r="F112" s="37">
        <f>IF(settings!$G$4=0,'Student Enrollment Data'!BB114,'Student Enrollment Data'!CO114)</f>
        <v>576</v>
      </c>
      <c r="G112" s="37">
        <f t="shared" si="15"/>
        <v>0</v>
      </c>
      <c r="H112" s="37">
        <f t="shared" si="16"/>
        <v>1</v>
      </c>
      <c r="I112" s="37">
        <f t="shared" si="17"/>
        <v>0</v>
      </c>
      <c r="J112" s="39" t="str">
        <f t="shared" si="18"/>
        <v/>
      </c>
      <c r="K112" s="39">
        <f t="shared" si="19"/>
        <v>1.3548275862068966</v>
      </c>
      <c r="L112" s="39">
        <f t="shared" si="20"/>
        <v>0</v>
      </c>
      <c r="M112" s="39">
        <f t="shared" si="21"/>
        <v>1.1774137931034483</v>
      </c>
      <c r="N112" s="39">
        <f t="shared" si="22"/>
        <v>653</v>
      </c>
      <c r="O112" s="39">
        <f t="shared" si="23"/>
        <v>780.38068965517243</v>
      </c>
      <c r="P112" s="39">
        <f t="shared" si="24"/>
        <v>1433.3806896551723</v>
      </c>
      <c r="Q112" s="39">
        <f t="shared" si="25"/>
        <v>653</v>
      </c>
      <c r="R112" s="39">
        <f t="shared" si="26"/>
        <v>678.19034482758616</v>
      </c>
      <c r="S112" s="40">
        <f t="shared" si="27"/>
        <v>1331.1903448275862</v>
      </c>
      <c r="T112">
        <f t="shared" si="28"/>
        <v>1433.3806896551723</v>
      </c>
      <c r="U112">
        <f t="shared" si="29"/>
        <v>1331.1903448275862</v>
      </c>
      <c r="V112">
        <f>IF(AND(settings!$D$4=0,settings!$D$7=0),'Small Dist Weight'!P112,IF(AND(settings!$D$4=0,settings!$D$7=1),T112,IF(AND(settings!$D$4=1,settings!$D$7=0),S112,U112)))</f>
        <v>1331.1903448275862</v>
      </c>
    </row>
    <row r="113" spans="1:22">
      <c r="A113" t="str">
        <f>'Student Enrollment Data'!A115</f>
        <v>422</v>
      </c>
      <c r="B113">
        <f>'Student Enrollment Data'!B115</f>
        <v>422</v>
      </c>
      <c r="C113" t="str">
        <f>'Student Enrollment Data'!C115</f>
        <v>Cascade School District # 422</v>
      </c>
      <c r="D113">
        <v>0</v>
      </c>
      <c r="E113" s="37">
        <f>IF(settings!$G$4=0,'Student Enrollment Data'!BA115,'Student Enrollment Data'!CN115)</f>
        <v>96</v>
      </c>
      <c r="F113" s="37">
        <f>IF(settings!$G$4=0,'Student Enrollment Data'!BB115,'Student Enrollment Data'!CO115)</f>
        <v>113</v>
      </c>
      <c r="G113" s="37">
        <f t="shared" si="15"/>
        <v>1</v>
      </c>
      <c r="H113" s="37">
        <f t="shared" si="16"/>
        <v>1</v>
      </c>
      <c r="I113" s="37">
        <f t="shared" si="17"/>
        <v>1</v>
      </c>
      <c r="J113" s="39">
        <f t="shared" si="18"/>
        <v>1.7445454545454546</v>
      </c>
      <c r="K113" s="39">
        <f t="shared" si="19"/>
        <v>1.9136206896551724</v>
      </c>
      <c r="L113" s="39">
        <f t="shared" si="20"/>
        <v>1.5918181818181818</v>
      </c>
      <c r="M113" s="39">
        <f t="shared" si="21"/>
        <v>1.8454310344827587</v>
      </c>
      <c r="N113" s="39">
        <f t="shared" si="22"/>
        <v>167.47636363636366</v>
      </c>
      <c r="O113" s="39">
        <f t="shared" si="23"/>
        <v>216.23913793103449</v>
      </c>
      <c r="P113" s="39">
        <f t="shared" si="24"/>
        <v>383.71550156739818</v>
      </c>
      <c r="Q113" s="39">
        <f t="shared" si="25"/>
        <v>152.81454545454545</v>
      </c>
      <c r="R113" s="39">
        <f t="shared" si="26"/>
        <v>208.53370689655173</v>
      </c>
      <c r="S113" s="40">
        <f t="shared" si="27"/>
        <v>361.34825235109719</v>
      </c>
      <c r="T113">
        <f t="shared" si="28"/>
        <v>383.71550156739818</v>
      </c>
      <c r="U113">
        <f t="shared" si="29"/>
        <v>361.34825235109719</v>
      </c>
      <c r="V113">
        <f>IF(AND(settings!$D$4=0,settings!$D$7=0),'Small Dist Weight'!P113,IF(AND(settings!$D$4=0,settings!$D$7=1),T113,IF(AND(settings!$D$4=1,settings!$D$7=0),S113,U113)))</f>
        <v>361.34825235109719</v>
      </c>
    </row>
    <row r="114" spans="1:22">
      <c r="A114" t="str">
        <f>'Student Enrollment Data'!A116</f>
        <v>431</v>
      </c>
      <c r="B114">
        <f>'Student Enrollment Data'!B116</f>
        <v>431</v>
      </c>
      <c r="C114" t="str">
        <f>'Student Enrollment Data'!C116</f>
        <v>Weiser School District # 431</v>
      </c>
      <c r="D114">
        <v>0</v>
      </c>
      <c r="E114" s="37">
        <f>IF(settings!$G$4=0,'Student Enrollment Data'!BA116,'Student Enrollment Data'!CN116)</f>
        <v>720</v>
      </c>
      <c r="F114" s="37">
        <f>IF(settings!$G$4=0,'Student Enrollment Data'!BB116,'Student Enrollment Data'!CO116)</f>
        <v>791</v>
      </c>
      <c r="G114" s="37">
        <f t="shared" si="15"/>
        <v>0</v>
      </c>
      <c r="H114" s="37">
        <f t="shared" si="16"/>
        <v>1</v>
      </c>
      <c r="I114" s="37">
        <f t="shared" si="17"/>
        <v>0</v>
      </c>
      <c r="J114" s="39" t="str">
        <f t="shared" si="18"/>
        <v/>
      </c>
      <c r="K114" s="39">
        <f t="shared" si="19"/>
        <v>1.095344827586207</v>
      </c>
      <c r="L114" s="39">
        <f t="shared" si="20"/>
        <v>0</v>
      </c>
      <c r="M114" s="39">
        <f t="shared" si="21"/>
        <v>1.0476724137931035</v>
      </c>
      <c r="N114" s="39">
        <f t="shared" si="22"/>
        <v>720</v>
      </c>
      <c r="O114" s="39">
        <f t="shared" si="23"/>
        <v>866.41775862068971</v>
      </c>
      <c r="P114" s="39">
        <f t="shared" si="24"/>
        <v>1586.4177586206897</v>
      </c>
      <c r="Q114" s="39">
        <f t="shared" si="25"/>
        <v>720</v>
      </c>
      <c r="R114" s="39">
        <f t="shared" si="26"/>
        <v>828.70887931034486</v>
      </c>
      <c r="S114" s="40">
        <f t="shared" si="27"/>
        <v>1548.7088793103449</v>
      </c>
      <c r="T114">
        <f t="shared" si="28"/>
        <v>1586.4177586206897</v>
      </c>
      <c r="U114">
        <f t="shared" si="29"/>
        <v>1548.7088793103449</v>
      </c>
      <c r="V114">
        <f>IF(AND(settings!$D$4=0,settings!$D$7=0),'Small Dist Weight'!P114,IF(AND(settings!$D$4=0,settings!$D$7=1),T114,IF(AND(settings!$D$4=1,settings!$D$7=0),S114,U114)))</f>
        <v>1548.7088793103449</v>
      </c>
    </row>
    <row r="115" spans="1:22">
      <c r="A115" t="str">
        <f>'Student Enrollment Data'!A117</f>
        <v>432</v>
      </c>
      <c r="B115">
        <f>'Student Enrollment Data'!B117</f>
        <v>432</v>
      </c>
      <c r="C115" t="str">
        <f>'Student Enrollment Data'!C117</f>
        <v>Cambridge Joint School District # 432</v>
      </c>
      <c r="D115">
        <v>0</v>
      </c>
      <c r="E115" s="37">
        <f>IF(settings!$G$4=0,'Student Enrollment Data'!BA117,'Student Enrollment Data'!CN117)</f>
        <v>63</v>
      </c>
      <c r="F115" s="37">
        <f>IF(settings!$G$4=0,'Student Enrollment Data'!BB117,'Student Enrollment Data'!CO117)</f>
        <v>100</v>
      </c>
      <c r="G115" s="37">
        <f t="shared" si="15"/>
        <v>1</v>
      </c>
      <c r="H115" s="37">
        <f t="shared" si="16"/>
        <v>1</v>
      </c>
      <c r="I115" s="37">
        <f t="shared" si="17"/>
        <v>1</v>
      </c>
      <c r="J115" s="39">
        <f t="shared" si="18"/>
        <v>1.8495454545454546</v>
      </c>
      <c r="K115" s="39">
        <f t="shared" si="19"/>
        <v>1.9293103448275861</v>
      </c>
      <c r="L115" s="39">
        <f t="shared" si="20"/>
        <v>1.7493181818181818</v>
      </c>
      <c r="M115" s="39">
        <f t="shared" si="21"/>
        <v>1.8689655172413793</v>
      </c>
      <c r="N115" s="39">
        <f t="shared" si="22"/>
        <v>116.52136363636365</v>
      </c>
      <c r="O115" s="39">
        <f t="shared" si="23"/>
        <v>192.93103448275861</v>
      </c>
      <c r="P115" s="39">
        <f t="shared" si="24"/>
        <v>309.45239811912222</v>
      </c>
      <c r="Q115" s="39">
        <f t="shared" si="25"/>
        <v>110.20704545454545</v>
      </c>
      <c r="R115" s="39">
        <f t="shared" si="26"/>
        <v>186.89655172413794</v>
      </c>
      <c r="S115" s="40">
        <f t="shared" si="27"/>
        <v>297.1035971786834</v>
      </c>
      <c r="T115">
        <f t="shared" si="28"/>
        <v>309.45239811912222</v>
      </c>
      <c r="U115">
        <f t="shared" si="29"/>
        <v>297.1035971786834</v>
      </c>
      <c r="V115">
        <f>IF(AND(settings!$D$4=0,settings!$D$7=0),'Small Dist Weight'!P115,IF(AND(settings!$D$4=0,settings!$D$7=1),T115,IF(AND(settings!$D$4=1,settings!$D$7=0),S115,U115)))</f>
        <v>297.1035971786834</v>
      </c>
    </row>
    <row r="116" spans="1:22">
      <c r="A116" t="str">
        <f>'Student Enrollment Data'!A118</f>
        <v>433</v>
      </c>
      <c r="B116">
        <f>'Student Enrollment Data'!B118</f>
        <v>433</v>
      </c>
      <c r="C116" t="str">
        <f>'Student Enrollment Data'!C118</f>
        <v>Midvale School District # 433</v>
      </c>
      <c r="D116">
        <v>0</v>
      </c>
      <c r="E116" s="37">
        <f>IF(settings!$G$4=0,'Student Enrollment Data'!BA118,'Student Enrollment Data'!CN118)</f>
        <v>53</v>
      </c>
      <c r="F116" s="37">
        <f>IF(settings!$G$4=0,'Student Enrollment Data'!BB118,'Student Enrollment Data'!CO118)</f>
        <v>100</v>
      </c>
      <c r="G116" s="37">
        <f t="shared" si="15"/>
        <v>1</v>
      </c>
      <c r="H116" s="37">
        <f t="shared" si="16"/>
        <v>1</v>
      </c>
      <c r="I116" s="37">
        <f t="shared" si="17"/>
        <v>1</v>
      </c>
      <c r="J116" s="39">
        <f t="shared" si="18"/>
        <v>1.8813636363636363</v>
      </c>
      <c r="K116" s="39">
        <f t="shared" si="19"/>
        <v>1.9293103448275861</v>
      </c>
      <c r="L116" s="39">
        <f t="shared" si="20"/>
        <v>1.7970454545454546</v>
      </c>
      <c r="M116" s="39">
        <f t="shared" si="21"/>
        <v>1.8689655172413793</v>
      </c>
      <c r="N116" s="39">
        <f t="shared" si="22"/>
        <v>99.712272727272733</v>
      </c>
      <c r="O116" s="39">
        <f t="shared" si="23"/>
        <v>192.93103448275861</v>
      </c>
      <c r="P116" s="39">
        <f t="shared" si="24"/>
        <v>292.64330721003137</v>
      </c>
      <c r="Q116" s="39">
        <f t="shared" si="25"/>
        <v>95.243409090909097</v>
      </c>
      <c r="R116" s="39">
        <f t="shared" si="26"/>
        <v>186.89655172413794</v>
      </c>
      <c r="S116" s="40">
        <f t="shared" si="27"/>
        <v>282.13996081504706</v>
      </c>
      <c r="T116">
        <f t="shared" si="28"/>
        <v>292.64330721003137</v>
      </c>
      <c r="U116">
        <f t="shared" si="29"/>
        <v>282.13996081504706</v>
      </c>
      <c r="V116">
        <f>IF(AND(settings!$D$4=0,settings!$D$7=0),'Small Dist Weight'!P116,IF(AND(settings!$D$4=0,settings!$D$7=1),T116,IF(AND(settings!$D$4=1,settings!$D$7=0),S116,U116)))</f>
        <v>282.13996081504706</v>
      </c>
    </row>
    <row r="117" spans="1:22">
      <c r="A117" t="str">
        <f>'Student Enrollment Data'!A119</f>
        <v>451</v>
      </c>
      <c r="B117">
        <f>'Student Enrollment Data'!B119</f>
        <v>451</v>
      </c>
      <c r="C117" t="str">
        <f>'Student Enrollment Data'!C119</f>
        <v>Victory Charter School # 451</v>
      </c>
      <c r="D117">
        <v>1</v>
      </c>
      <c r="E117" s="37">
        <f>IF(settings!$G$4=0,'Student Enrollment Data'!BA119,'Student Enrollment Data'!CN119)</f>
        <v>192</v>
      </c>
      <c r="F117" s="37">
        <f>IF(settings!$G$4=0,'Student Enrollment Data'!BB119,'Student Enrollment Data'!CO119)</f>
        <v>202</v>
      </c>
      <c r="G117" s="37">
        <f t="shared" si="15"/>
        <v>1</v>
      </c>
      <c r="H117" s="37">
        <f t="shared" si="16"/>
        <v>1</v>
      </c>
      <c r="I117" s="37">
        <f t="shared" si="17"/>
        <v>1</v>
      </c>
      <c r="J117" s="39">
        <f t="shared" si="18"/>
        <v>1.439090909090909</v>
      </c>
      <c r="K117" s="39">
        <f t="shared" si="19"/>
        <v>1.8062068965517242</v>
      </c>
      <c r="L117" s="39">
        <f t="shared" si="20"/>
        <v>1.2195454545454547</v>
      </c>
      <c r="M117" s="39">
        <f t="shared" si="21"/>
        <v>1.6843103448275862</v>
      </c>
      <c r="N117" s="39">
        <f t="shared" si="22"/>
        <v>276.3054545454545</v>
      </c>
      <c r="O117" s="39">
        <f t="shared" si="23"/>
        <v>364.85379310344831</v>
      </c>
      <c r="P117" s="39">
        <f t="shared" si="24"/>
        <v>641.15924764890281</v>
      </c>
      <c r="Q117" s="39">
        <f t="shared" si="25"/>
        <v>234.1527272727273</v>
      </c>
      <c r="R117" s="39">
        <f t="shared" si="26"/>
        <v>340.2306896551724</v>
      </c>
      <c r="S117" s="40">
        <f t="shared" si="27"/>
        <v>574.3834169278997</v>
      </c>
      <c r="T117">
        <f t="shared" si="28"/>
        <v>394</v>
      </c>
      <c r="U117">
        <f t="shared" si="29"/>
        <v>394</v>
      </c>
      <c r="V117">
        <f>IF(AND(settings!$D$4=0,settings!$D$7=0),'Small Dist Weight'!P117,IF(AND(settings!$D$4=0,settings!$D$7=1),T117,IF(AND(settings!$D$4=1,settings!$D$7=0),S117,U117)))</f>
        <v>574.3834169278997</v>
      </c>
    </row>
    <row r="118" spans="1:22">
      <c r="A118" t="str">
        <f>'Student Enrollment Data'!A120</f>
        <v>452</v>
      </c>
      <c r="B118">
        <f>'Student Enrollment Data'!B120</f>
        <v>452</v>
      </c>
      <c r="C118" t="str">
        <f>'Student Enrollment Data'!C120</f>
        <v>Idaho Virtual Academy # 452</v>
      </c>
      <c r="D118">
        <v>1</v>
      </c>
      <c r="E118" s="37">
        <f>IF(settings!$G$4=0,'Student Enrollment Data'!BA120,'Student Enrollment Data'!CN120)</f>
        <v>609.5</v>
      </c>
      <c r="F118" s="37">
        <f>IF(settings!$G$4=0,'Student Enrollment Data'!BB120,'Student Enrollment Data'!CO120)</f>
        <v>1142</v>
      </c>
      <c r="G118" s="37">
        <f t="shared" si="15"/>
        <v>0</v>
      </c>
      <c r="H118" s="37">
        <f t="shared" si="16"/>
        <v>0</v>
      </c>
      <c r="I118" s="37">
        <f t="shared" si="17"/>
        <v>0</v>
      </c>
      <c r="J118" s="39" t="str">
        <f t="shared" si="18"/>
        <v/>
      </c>
      <c r="K118" s="39" t="str">
        <f t="shared" si="19"/>
        <v/>
      </c>
      <c r="L118" s="39">
        <f t="shared" si="20"/>
        <v>0</v>
      </c>
      <c r="M118" s="39">
        <f t="shared" si="21"/>
        <v>0</v>
      </c>
      <c r="N118" s="39">
        <f t="shared" si="22"/>
        <v>609.5</v>
      </c>
      <c r="O118" s="39">
        <f t="shared" si="23"/>
        <v>1142</v>
      </c>
      <c r="P118" s="39">
        <f t="shared" si="24"/>
        <v>1751.5</v>
      </c>
      <c r="Q118" s="39">
        <f t="shared" si="25"/>
        <v>609.5</v>
      </c>
      <c r="R118" s="39">
        <f t="shared" si="26"/>
        <v>1142</v>
      </c>
      <c r="S118" s="40">
        <f t="shared" si="27"/>
        <v>1751.5</v>
      </c>
      <c r="T118">
        <f t="shared" si="28"/>
        <v>1751.5</v>
      </c>
      <c r="U118">
        <f t="shared" si="29"/>
        <v>1751.5</v>
      </c>
      <c r="V118">
        <f>IF(AND(settings!$D$4=0,settings!$D$7=0),'Small Dist Weight'!P118,IF(AND(settings!$D$4=0,settings!$D$7=1),T118,IF(AND(settings!$D$4=1,settings!$D$7=0),S118,U118)))</f>
        <v>1751.5</v>
      </c>
    </row>
    <row r="119" spans="1:22">
      <c r="A119" t="str">
        <f>'Student Enrollment Data'!A121</f>
        <v>453</v>
      </c>
      <c r="B119">
        <f>'Student Enrollment Data'!B121</f>
        <v>453</v>
      </c>
      <c r="C119" t="str">
        <f>'Student Enrollment Data'!C121</f>
        <v>McKenna Charter School # 453</v>
      </c>
      <c r="D119">
        <v>1</v>
      </c>
      <c r="E119" s="37">
        <f>IF(settings!$G$4=0,'Student Enrollment Data'!BA121,'Student Enrollment Data'!CN121)</f>
        <v>83.5</v>
      </c>
      <c r="F119" s="37">
        <f>IF(settings!$G$4=0,'Student Enrollment Data'!BB121,'Student Enrollment Data'!CO121)</f>
        <v>363</v>
      </c>
      <c r="G119" s="37">
        <f t="shared" si="15"/>
        <v>1</v>
      </c>
      <c r="H119" s="37">
        <f t="shared" si="16"/>
        <v>1</v>
      </c>
      <c r="I119" s="37">
        <f t="shared" si="17"/>
        <v>1</v>
      </c>
      <c r="J119" s="39">
        <f t="shared" si="18"/>
        <v>1.7843181818181819</v>
      </c>
      <c r="K119" s="39">
        <f t="shared" si="19"/>
        <v>1.6118965517241379</v>
      </c>
      <c r="L119" s="39">
        <f t="shared" si="20"/>
        <v>1.6514772727272726</v>
      </c>
      <c r="M119" s="39">
        <f t="shared" si="21"/>
        <v>1.3928448275862069</v>
      </c>
      <c r="N119" s="39">
        <f t="shared" si="22"/>
        <v>148.99056818181819</v>
      </c>
      <c r="O119" s="39">
        <f t="shared" si="23"/>
        <v>585.11844827586208</v>
      </c>
      <c r="P119" s="39">
        <f t="shared" si="24"/>
        <v>734.10901645768024</v>
      </c>
      <c r="Q119" s="39">
        <f t="shared" si="25"/>
        <v>137.89835227272727</v>
      </c>
      <c r="R119" s="39">
        <f t="shared" si="26"/>
        <v>505.60267241379307</v>
      </c>
      <c r="S119" s="40">
        <f t="shared" si="27"/>
        <v>643.5010246865204</v>
      </c>
      <c r="T119">
        <f t="shared" si="28"/>
        <v>446.5</v>
      </c>
      <c r="U119">
        <f t="shared" si="29"/>
        <v>446.5</v>
      </c>
      <c r="V119">
        <f>IF(AND(settings!$D$4=0,settings!$D$7=0),'Small Dist Weight'!P119,IF(AND(settings!$D$4=0,settings!$D$7=1),T119,IF(AND(settings!$D$4=1,settings!$D$7=0),S119,U119)))</f>
        <v>643.5010246865204</v>
      </c>
    </row>
    <row r="120" spans="1:22">
      <c r="A120" t="str">
        <f>'Student Enrollment Data'!A122</f>
        <v>454</v>
      </c>
      <c r="B120">
        <f>'Student Enrollment Data'!B122</f>
        <v>454</v>
      </c>
      <c r="C120" t="str">
        <f>'Student Enrollment Data'!C122</f>
        <v>Rolling Hills Charter School # 454</v>
      </c>
      <c r="D120">
        <v>1</v>
      </c>
      <c r="E120" s="37">
        <f>IF(settings!$G$4=0,'Student Enrollment Data'!BA122,'Student Enrollment Data'!CN122)</f>
        <v>182.5</v>
      </c>
      <c r="F120" s="37">
        <f>IF(settings!$G$4=0,'Student Enrollment Data'!BB122,'Student Enrollment Data'!CO122)</f>
        <v>52</v>
      </c>
      <c r="G120" s="37">
        <f t="shared" si="15"/>
        <v>1</v>
      </c>
      <c r="H120" s="37">
        <f t="shared" si="16"/>
        <v>1</v>
      </c>
      <c r="I120" s="37">
        <f t="shared" si="17"/>
        <v>1</v>
      </c>
      <c r="J120" s="39">
        <f t="shared" si="18"/>
        <v>1.4693181818181817</v>
      </c>
      <c r="K120" s="39">
        <f t="shared" si="19"/>
        <v>1.9872413793103449</v>
      </c>
      <c r="L120" s="39">
        <f t="shared" si="20"/>
        <v>1.2346590909090911</v>
      </c>
      <c r="M120" s="39">
        <f t="shared" si="21"/>
        <v>1.9558620689655173</v>
      </c>
      <c r="N120" s="39">
        <f t="shared" si="22"/>
        <v>268.15056818181819</v>
      </c>
      <c r="O120" s="39">
        <f t="shared" si="23"/>
        <v>103.33655172413793</v>
      </c>
      <c r="P120" s="39">
        <f t="shared" si="24"/>
        <v>371.48711990595609</v>
      </c>
      <c r="Q120" s="39">
        <f t="shared" si="25"/>
        <v>225.32528409090912</v>
      </c>
      <c r="R120" s="39">
        <f t="shared" si="26"/>
        <v>101.7048275862069</v>
      </c>
      <c r="S120" s="40">
        <f t="shared" si="27"/>
        <v>327.030111677116</v>
      </c>
      <c r="T120">
        <f t="shared" si="28"/>
        <v>234.5</v>
      </c>
      <c r="U120">
        <f t="shared" si="29"/>
        <v>234.5</v>
      </c>
      <c r="V120">
        <f>IF(AND(settings!$D$4=0,settings!$D$7=0),'Small Dist Weight'!P120,IF(AND(settings!$D$4=0,settings!$D$7=1),T120,IF(AND(settings!$D$4=1,settings!$D$7=0),S120,U120)))</f>
        <v>327.030111677116</v>
      </c>
    </row>
    <row r="121" spans="1:22">
      <c r="A121" t="str">
        <f>'Student Enrollment Data'!A123</f>
        <v>455</v>
      </c>
      <c r="B121">
        <f>'Student Enrollment Data'!B123</f>
        <v>455</v>
      </c>
      <c r="C121" t="str">
        <f>'Student Enrollment Data'!C123</f>
        <v>Compass Public Charter School # 455</v>
      </c>
      <c r="D121">
        <v>1</v>
      </c>
      <c r="E121" s="37">
        <f>IF(settings!$G$4=0,'Student Enrollment Data'!BA123,'Student Enrollment Data'!CN123)</f>
        <v>632.5</v>
      </c>
      <c r="F121" s="37">
        <f>IF(settings!$G$4=0,'Student Enrollment Data'!BB123,'Student Enrollment Data'!CO123)</f>
        <v>401</v>
      </c>
      <c r="G121" s="37">
        <f t="shared" si="15"/>
        <v>0</v>
      </c>
      <c r="H121" s="37">
        <f t="shared" si="16"/>
        <v>1</v>
      </c>
      <c r="I121" s="37">
        <f t="shared" si="17"/>
        <v>0</v>
      </c>
      <c r="J121" s="39" t="str">
        <f t="shared" si="18"/>
        <v/>
      </c>
      <c r="K121" s="39">
        <f t="shared" si="19"/>
        <v>1.5660344827586208</v>
      </c>
      <c r="L121" s="39">
        <f t="shared" si="20"/>
        <v>0</v>
      </c>
      <c r="M121" s="39">
        <f t="shared" si="21"/>
        <v>1.324051724137931</v>
      </c>
      <c r="N121" s="39">
        <f t="shared" si="22"/>
        <v>632.5</v>
      </c>
      <c r="O121" s="39">
        <f t="shared" si="23"/>
        <v>627.97982758620697</v>
      </c>
      <c r="P121" s="39">
        <f t="shared" si="24"/>
        <v>1260.479827586207</v>
      </c>
      <c r="Q121" s="39">
        <f t="shared" si="25"/>
        <v>632.5</v>
      </c>
      <c r="R121" s="39">
        <f t="shared" si="26"/>
        <v>530.94474137931036</v>
      </c>
      <c r="S121" s="40">
        <f t="shared" si="27"/>
        <v>1163.4447413793105</v>
      </c>
      <c r="T121">
        <f t="shared" si="28"/>
        <v>1033.5</v>
      </c>
      <c r="U121">
        <f t="shared" si="29"/>
        <v>1033.5</v>
      </c>
      <c r="V121">
        <f>IF(AND(settings!$D$4=0,settings!$D$7=0),'Small Dist Weight'!P121,IF(AND(settings!$D$4=0,settings!$D$7=1),T121,IF(AND(settings!$D$4=1,settings!$D$7=0),S121,U121)))</f>
        <v>1163.4447413793105</v>
      </c>
    </row>
    <row r="122" spans="1:22">
      <c r="A122" t="str">
        <f>'Student Enrollment Data'!A124</f>
        <v>456</v>
      </c>
      <c r="B122">
        <f>'Student Enrollment Data'!B124</f>
        <v>456</v>
      </c>
      <c r="C122" t="str">
        <f>'Student Enrollment Data'!C124</f>
        <v>Falcon Ridge Public Charter School # 456</v>
      </c>
      <c r="D122">
        <v>1</v>
      </c>
      <c r="E122" s="37">
        <f>IF(settings!$G$4=0,'Student Enrollment Data'!BA124,'Student Enrollment Data'!CN124)</f>
        <v>198</v>
      </c>
      <c r="F122" s="37">
        <f>IF(settings!$G$4=0,'Student Enrollment Data'!BB124,'Student Enrollment Data'!CO124)</f>
        <v>63</v>
      </c>
      <c r="G122" s="37">
        <f t="shared" si="15"/>
        <v>1</v>
      </c>
      <c r="H122" s="37">
        <f t="shared" si="16"/>
        <v>1</v>
      </c>
      <c r="I122" s="37">
        <f t="shared" si="17"/>
        <v>1</v>
      </c>
      <c r="J122" s="39">
        <f t="shared" si="18"/>
        <v>1.42</v>
      </c>
      <c r="K122" s="39">
        <f t="shared" si="19"/>
        <v>1.9739655172413793</v>
      </c>
      <c r="L122" s="39">
        <f t="shared" si="20"/>
        <v>1.2100000000000002</v>
      </c>
      <c r="M122" s="39">
        <f t="shared" si="21"/>
        <v>1.935948275862069</v>
      </c>
      <c r="N122" s="39">
        <f t="shared" si="22"/>
        <v>281.15999999999997</v>
      </c>
      <c r="O122" s="39">
        <f t="shared" si="23"/>
        <v>124.35982758620689</v>
      </c>
      <c r="P122" s="39">
        <f t="shared" si="24"/>
        <v>405.51982758620687</v>
      </c>
      <c r="Q122" s="39">
        <f t="shared" si="25"/>
        <v>239.58000000000004</v>
      </c>
      <c r="R122" s="39">
        <f t="shared" si="26"/>
        <v>121.96474137931034</v>
      </c>
      <c r="S122" s="40">
        <f t="shared" si="27"/>
        <v>361.54474137931038</v>
      </c>
      <c r="T122">
        <f t="shared" si="28"/>
        <v>261</v>
      </c>
      <c r="U122">
        <f t="shared" si="29"/>
        <v>261</v>
      </c>
      <c r="V122">
        <f>IF(AND(settings!$D$4=0,settings!$D$7=0),'Small Dist Weight'!P122,IF(AND(settings!$D$4=0,settings!$D$7=1),T122,IF(AND(settings!$D$4=1,settings!$D$7=0),S122,U122)))</f>
        <v>361.54474137931038</v>
      </c>
    </row>
    <row r="123" spans="1:22">
      <c r="A123" t="str">
        <f>'Student Enrollment Data'!A125</f>
        <v>457</v>
      </c>
      <c r="B123">
        <f>'Student Enrollment Data'!B125</f>
        <v>457</v>
      </c>
      <c r="C123" t="str">
        <f>'Student Enrollment Data'!C125</f>
        <v>INSPIRE Connections Academy # 457</v>
      </c>
      <c r="D123">
        <v>1</v>
      </c>
      <c r="E123" s="37">
        <f>IF(settings!$G$4=0,'Student Enrollment Data'!BA125,'Student Enrollment Data'!CN125)</f>
        <v>268.5</v>
      </c>
      <c r="F123" s="37">
        <f>IF(settings!$G$4=0,'Student Enrollment Data'!BB125,'Student Enrollment Data'!CO125)</f>
        <v>695</v>
      </c>
      <c r="G123" s="37">
        <f t="shared" si="15"/>
        <v>1</v>
      </c>
      <c r="H123" s="37">
        <f t="shared" si="16"/>
        <v>1</v>
      </c>
      <c r="I123" s="37">
        <f t="shared" si="17"/>
        <v>1</v>
      </c>
      <c r="J123" s="39">
        <f t="shared" si="18"/>
        <v>1.1956818181818183</v>
      </c>
      <c r="K123" s="39">
        <f t="shared" si="19"/>
        <v>1.2112068965517242</v>
      </c>
      <c r="L123" s="39">
        <f t="shared" si="20"/>
        <v>1.0978409090909091</v>
      </c>
      <c r="M123" s="39">
        <f t="shared" si="21"/>
        <v>1.1056034482758621</v>
      </c>
      <c r="N123" s="39">
        <f t="shared" si="22"/>
        <v>321.04056818181823</v>
      </c>
      <c r="O123" s="39">
        <f t="shared" si="23"/>
        <v>841.78879310344837</v>
      </c>
      <c r="P123" s="39">
        <f t="shared" si="24"/>
        <v>1162.8293612852667</v>
      </c>
      <c r="Q123" s="39">
        <f t="shared" si="25"/>
        <v>294.77028409090912</v>
      </c>
      <c r="R123" s="39">
        <f t="shared" si="26"/>
        <v>768.39439655172418</v>
      </c>
      <c r="S123" s="40">
        <f t="shared" si="27"/>
        <v>1063.1646806426334</v>
      </c>
      <c r="T123">
        <f t="shared" si="28"/>
        <v>963.5</v>
      </c>
      <c r="U123">
        <f t="shared" si="29"/>
        <v>963.5</v>
      </c>
      <c r="V123">
        <f>IF(AND(settings!$D$4=0,settings!$D$7=0),'Small Dist Weight'!P123,IF(AND(settings!$D$4=0,settings!$D$7=1),T123,IF(AND(settings!$D$4=1,settings!$D$7=0),S123,U123)))</f>
        <v>1063.1646806426334</v>
      </c>
    </row>
    <row r="124" spans="1:22">
      <c r="A124" t="str">
        <f>'Student Enrollment Data'!A126</f>
        <v>458</v>
      </c>
      <c r="B124">
        <f>'Student Enrollment Data'!B126</f>
        <v>458</v>
      </c>
      <c r="C124" t="str">
        <f>'Student Enrollment Data'!C126</f>
        <v>Liberty Charter School # 458</v>
      </c>
      <c r="D124">
        <v>1</v>
      </c>
      <c r="E124" s="37">
        <f>IF(settings!$G$4=0,'Student Enrollment Data'!BA126,'Student Enrollment Data'!CN126)</f>
        <v>192</v>
      </c>
      <c r="F124" s="37">
        <f>IF(settings!$G$4=0,'Student Enrollment Data'!BB126,'Student Enrollment Data'!CO126)</f>
        <v>209</v>
      </c>
      <c r="G124" s="37">
        <f t="shared" si="15"/>
        <v>1</v>
      </c>
      <c r="H124" s="37">
        <f t="shared" si="16"/>
        <v>1</v>
      </c>
      <c r="I124" s="37">
        <f t="shared" si="17"/>
        <v>1</v>
      </c>
      <c r="J124" s="39">
        <f t="shared" si="18"/>
        <v>1.439090909090909</v>
      </c>
      <c r="K124" s="39">
        <f t="shared" si="19"/>
        <v>1.7977586206896552</v>
      </c>
      <c r="L124" s="39">
        <f t="shared" si="20"/>
        <v>1.2195454545454547</v>
      </c>
      <c r="M124" s="39">
        <f t="shared" si="21"/>
        <v>1.6716379310344829</v>
      </c>
      <c r="N124" s="39">
        <f t="shared" si="22"/>
        <v>276.3054545454545</v>
      </c>
      <c r="O124" s="39">
        <f t="shared" si="23"/>
        <v>375.73155172413794</v>
      </c>
      <c r="P124" s="39">
        <f t="shared" si="24"/>
        <v>652.03700626959244</v>
      </c>
      <c r="Q124" s="39">
        <f t="shared" si="25"/>
        <v>234.1527272727273</v>
      </c>
      <c r="R124" s="39">
        <f t="shared" si="26"/>
        <v>349.37232758620695</v>
      </c>
      <c r="S124" s="40">
        <f t="shared" si="27"/>
        <v>583.52505485893425</v>
      </c>
      <c r="T124">
        <f t="shared" si="28"/>
        <v>401</v>
      </c>
      <c r="U124">
        <f t="shared" si="29"/>
        <v>401</v>
      </c>
      <c r="V124">
        <f>IF(AND(settings!$D$4=0,settings!$D$7=0),'Small Dist Weight'!P124,IF(AND(settings!$D$4=0,settings!$D$7=1),T124,IF(AND(settings!$D$4=1,settings!$D$7=0),S124,U124)))</f>
        <v>583.52505485893425</v>
      </c>
    </row>
    <row r="125" spans="1:22">
      <c r="A125" t="str">
        <f>'Student Enrollment Data'!A127</f>
        <v>460</v>
      </c>
      <c r="B125">
        <f>'Student Enrollment Data'!B127</f>
        <v>460</v>
      </c>
      <c r="C125" t="str">
        <f>'Student Enrollment Data'!C127</f>
        <v>Connor Academy # 460</v>
      </c>
      <c r="D125">
        <v>1</v>
      </c>
      <c r="E125" s="37">
        <f>IF(settings!$G$4=0,'Student Enrollment Data'!BA127,'Student Enrollment Data'!CN127)</f>
        <v>399</v>
      </c>
      <c r="F125" s="37">
        <f>IF(settings!$G$4=0,'Student Enrollment Data'!BB127,'Student Enrollment Data'!CO127)</f>
        <v>129</v>
      </c>
      <c r="G125" s="37">
        <f t="shared" si="15"/>
        <v>0</v>
      </c>
      <c r="H125" s="37">
        <f t="shared" si="16"/>
        <v>1</v>
      </c>
      <c r="I125" s="37">
        <f t="shared" si="17"/>
        <v>0</v>
      </c>
      <c r="J125" s="39" t="str">
        <f t="shared" si="18"/>
        <v/>
      </c>
      <c r="K125" s="39">
        <f t="shared" si="19"/>
        <v>1.8943103448275862</v>
      </c>
      <c r="L125" s="39">
        <f t="shared" si="20"/>
        <v>0</v>
      </c>
      <c r="M125" s="39">
        <f t="shared" si="21"/>
        <v>1.8164655172413793</v>
      </c>
      <c r="N125" s="39">
        <f t="shared" si="22"/>
        <v>399</v>
      </c>
      <c r="O125" s="39">
        <f t="shared" si="23"/>
        <v>244.36603448275861</v>
      </c>
      <c r="P125" s="39">
        <f t="shared" si="24"/>
        <v>643.36603448275855</v>
      </c>
      <c r="Q125" s="39">
        <f t="shared" si="25"/>
        <v>399</v>
      </c>
      <c r="R125" s="39">
        <f t="shared" si="26"/>
        <v>234.32405172413792</v>
      </c>
      <c r="S125" s="40">
        <f t="shared" si="27"/>
        <v>633.32405172413792</v>
      </c>
      <c r="T125">
        <f t="shared" si="28"/>
        <v>528</v>
      </c>
      <c r="U125">
        <f t="shared" si="29"/>
        <v>528</v>
      </c>
      <c r="V125">
        <f>IF(AND(settings!$D$4=0,settings!$D$7=0),'Small Dist Weight'!P125,IF(AND(settings!$D$4=0,settings!$D$7=1),T125,IF(AND(settings!$D$4=1,settings!$D$7=0),S125,U125)))</f>
        <v>633.32405172413792</v>
      </c>
    </row>
    <row r="126" spans="1:22">
      <c r="A126" t="str">
        <f>'Student Enrollment Data'!A128</f>
        <v>461</v>
      </c>
      <c r="B126">
        <f>'Student Enrollment Data'!B128</f>
        <v>461</v>
      </c>
      <c r="C126" t="str">
        <f>'Student Enrollment Data'!C128</f>
        <v>Taylor's Crossing Public Charter School # 461</v>
      </c>
      <c r="D126">
        <v>1</v>
      </c>
      <c r="E126" s="37">
        <f>IF(settings!$G$4=0,'Student Enrollment Data'!BA128,'Student Enrollment Data'!CN128)</f>
        <v>207</v>
      </c>
      <c r="F126" s="37">
        <f>IF(settings!$G$4=0,'Student Enrollment Data'!BB128,'Student Enrollment Data'!CO128)</f>
        <v>145</v>
      </c>
      <c r="G126" s="37">
        <f t="shared" si="15"/>
        <v>1</v>
      </c>
      <c r="H126" s="37">
        <f t="shared" si="16"/>
        <v>1</v>
      </c>
      <c r="I126" s="37">
        <f t="shared" si="17"/>
        <v>1</v>
      </c>
      <c r="J126" s="39">
        <f t="shared" si="18"/>
        <v>1.3913636363636364</v>
      </c>
      <c r="K126" s="39">
        <f t="shared" si="19"/>
        <v>1.875</v>
      </c>
      <c r="L126" s="39">
        <f t="shared" si="20"/>
        <v>1.1956818181818183</v>
      </c>
      <c r="M126" s="39">
        <f t="shared" si="21"/>
        <v>1.7875000000000001</v>
      </c>
      <c r="N126" s="39">
        <f t="shared" si="22"/>
        <v>288.01227272727272</v>
      </c>
      <c r="O126" s="39">
        <f t="shared" si="23"/>
        <v>271.875</v>
      </c>
      <c r="P126" s="39">
        <f t="shared" si="24"/>
        <v>559.88727272727272</v>
      </c>
      <c r="Q126" s="39">
        <f t="shared" si="25"/>
        <v>247.50613636363639</v>
      </c>
      <c r="R126" s="39">
        <f t="shared" si="26"/>
        <v>259.1875</v>
      </c>
      <c r="S126" s="40">
        <f t="shared" si="27"/>
        <v>506.69363636363641</v>
      </c>
      <c r="T126">
        <f t="shared" si="28"/>
        <v>352</v>
      </c>
      <c r="U126">
        <f t="shared" si="29"/>
        <v>352</v>
      </c>
      <c r="V126">
        <f>IF(AND(settings!$D$4=0,settings!$D$7=0),'Small Dist Weight'!P126,IF(AND(settings!$D$4=0,settings!$D$7=1),T126,IF(AND(settings!$D$4=1,settings!$D$7=0),S126,U126)))</f>
        <v>506.69363636363641</v>
      </c>
    </row>
    <row r="127" spans="1:22">
      <c r="A127" t="str">
        <f>'Student Enrollment Data'!A129</f>
        <v>462</v>
      </c>
      <c r="B127">
        <f>'Student Enrollment Data'!B129</f>
        <v>462</v>
      </c>
      <c r="C127" t="str">
        <f>'Student Enrollment Data'!C129</f>
        <v>Xavier Charter School # 462</v>
      </c>
      <c r="D127">
        <v>1</v>
      </c>
      <c r="E127" s="37">
        <f>IF(settings!$G$4=0,'Student Enrollment Data'!BA129,'Student Enrollment Data'!CN129)</f>
        <v>389</v>
      </c>
      <c r="F127" s="37">
        <f>IF(settings!$G$4=0,'Student Enrollment Data'!BB129,'Student Enrollment Data'!CO129)</f>
        <v>288</v>
      </c>
      <c r="G127" s="37">
        <f t="shared" si="15"/>
        <v>0</v>
      </c>
      <c r="H127" s="37">
        <f t="shared" si="16"/>
        <v>1</v>
      </c>
      <c r="I127" s="37">
        <f t="shared" si="17"/>
        <v>0</v>
      </c>
      <c r="J127" s="39" t="str">
        <f t="shared" si="18"/>
        <v/>
      </c>
      <c r="K127" s="39">
        <f t="shared" si="19"/>
        <v>1.7024137931034482</v>
      </c>
      <c r="L127" s="39">
        <f t="shared" si="20"/>
        <v>0</v>
      </c>
      <c r="M127" s="39">
        <f t="shared" si="21"/>
        <v>1.5286206896551724</v>
      </c>
      <c r="N127" s="39">
        <f t="shared" si="22"/>
        <v>389</v>
      </c>
      <c r="O127" s="39">
        <f t="shared" si="23"/>
        <v>490.29517241379307</v>
      </c>
      <c r="P127" s="39">
        <f t="shared" si="24"/>
        <v>879.29517241379313</v>
      </c>
      <c r="Q127" s="39">
        <f t="shared" si="25"/>
        <v>389</v>
      </c>
      <c r="R127" s="39">
        <f t="shared" si="26"/>
        <v>440.24275862068964</v>
      </c>
      <c r="S127" s="40">
        <f t="shared" si="27"/>
        <v>829.24275862068964</v>
      </c>
      <c r="T127">
        <f t="shared" si="28"/>
        <v>677</v>
      </c>
      <c r="U127">
        <f t="shared" si="29"/>
        <v>677</v>
      </c>
      <c r="V127">
        <f>IF(AND(settings!$D$4=0,settings!$D$7=0),'Small Dist Weight'!P127,IF(AND(settings!$D$4=0,settings!$D$7=1),T127,IF(AND(settings!$D$4=1,settings!$D$7=0),S127,U127)))</f>
        <v>829.24275862068964</v>
      </c>
    </row>
    <row r="128" spans="1:22">
      <c r="A128" t="str">
        <f>'Student Enrollment Data'!A130</f>
        <v>463</v>
      </c>
      <c r="B128">
        <f>'Student Enrollment Data'!B130</f>
        <v>463</v>
      </c>
      <c r="C128" t="str">
        <f>'Student Enrollment Data'!C130</f>
        <v>Vision Charter School # 463</v>
      </c>
      <c r="D128">
        <v>1</v>
      </c>
      <c r="E128" s="37">
        <f>IF(settings!$G$4=0,'Student Enrollment Data'!BA130,'Student Enrollment Data'!CN130)</f>
        <v>394</v>
      </c>
      <c r="F128" s="37">
        <f>IF(settings!$G$4=0,'Student Enrollment Data'!BB130,'Student Enrollment Data'!CO130)</f>
        <v>302</v>
      </c>
      <c r="G128" s="37">
        <f t="shared" si="15"/>
        <v>0</v>
      </c>
      <c r="H128" s="37">
        <f t="shared" si="16"/>
        <v>1</v>
      </c>
      <c r="I128" s="37">
        <f t="shared" si="17"/>
        <v>0</v>
      </c>
      <c r="J128" s="39" t="str">
        <f t="shared" si="18"/>
        <v/>
      </c>
      <c r="K128" s="39">
        <f t="shared" si="19"/>
        <v>1.6855172413793102</v>
      </c>
      <c r="L128" s="39">
        <f t="shared" si="20"/>
        <v>0</v>
      </c>
      <c r="M128" s="39">
        <f t="shared" si="21"/>
        <v>1.5032758620689655</v>
      </c>
      <c r="N128" s="39">
        <f t="shared" si="22"/>
        <v>394</v>
      </c>
      <c r="O128" s="39">
        <f t="shared" si="23"/>
        <v>509.02620689655168</v>
      </c>
      <c r="P128" s="39">
        <f t="shared" si="24"/>
        <v>903.02620689655168</v>
      </c>
      <c r="Q128" s="39">
        <f t="shared" si="25"/>
        <v>394</v>
      </c>
      <c r="R128" s="39">
        <f t="shared" si="26"/>
        <v>453.98931034482757</v>
      </c>
      <c r="S128" s="40">
        <f t="shared" si="27"/>
        <v>847.98931034482757</v>
      </c>
      <c r="T128">
        <f t="shared" si="28"/>
        <v>696</v>
      </c>
      <c r="U128">
        <f t="shared" si="29"/>
        <v>696</v>
      </c>
      <c r="V128">
        <f>IF(AND(settings!$D$4=0,settings!$D$7=0),'Small Dist Weight'!P128,IF(AND(settings!$D$4=0,settings!$D$7=1),T128,IF(AND(settings!$D$4=1,settings!$D$7=0),S128,U128)))</f>
        <v>847.98931034482757</v>
      </c>
    </row>
    <row r="129" spans="1:22">
      <c r="A129" t="str">
        <f>'Student Enrollment Data'!A131</f>
        <v>464</v>
      </c>
      <c r="B129">
        <f>'Student Enrollment Data'!B131</f>
        <v>464</v>
      </c>
      <c r="C129" t="str">
        <f>'Student Enrollment Data'!C131</f>
        <v>White Pine Charter School # 464</v>
      </c>
      <c r="D129">
        <v>1</v>
      </c>
      <c r="E129" s="37">
        <f>IF(settings!$G$4=0,'Student Enrollment Data'!BA131,'Student Enrollment Data'!CN131)</f>
        <v>425</v>
      </c>
      <c r="F129" s="37">
        <f>IF(settings!$G$4=0,'Student Enrollment Data'!BB131,'Student Enrollment Data'!CO131)</f>
        <v>77</v>
      </c>
      <c r="G129" s="37">
        <f t="shared" si="15"/>
        <v>0</v>
      </c>
      <c r="H129" s="37">
        <f t="shared" si="16"/>
        <v>1</v>
      </c>
      <c r="I129" s="37">
        <f t="shared" si="17"/>
        <v>0</v>
      </c>
      <c r="J129" s="39" t="str">
        <f t="shared" si="18"/>
        <v/>
      </c>
      <c r="K129" s="39">
        <f t="shared" si="19"/>
        <v>1.9570689655172413</v>
      </c>
      <c r="L129" s="39">
        <f t="shared" si="20"/>
        <v>0</v>
      </c>
      <c r="M129" s="39">
        <f t="shared" si="21"/>
        <v>1.910603448275862</v>
      </c>
      <c r="N129" s="39">
        <f t="shared" si="22"/>
        <v>425</v>
      </c>
      <c r="O129" s="39">
        <f t="shared" si="23"/>
        <v>150.69431034482758</v>
      </c>
      <c r="P129" s="39">
        <f t="shared" si="24"/>
        <v>575.69431034482761</v>
      </c>
      <c r="Q129" s="39">
        <f t="shared" si="25"/>
        <v>425</v>
      </c>
      <c r="R129" s="39">
        <f t="shared" si="26"/>
        <v>147.11646551724138</v>
      </c>
      <c r="S129" s="40">
        <f t="shared" si="27"/>
        <v>572.11646551724141</v>
      </c>
      <c r="T129">
        <f t="shared" si="28"/>
        <v>502</v>
      </c>
      <c r="U129">
        <f t="shared" si="29"/>
        <v>502</v>
      </c>
      <c r="V129">
        <f>IF(AND(settings!$D$4=0,settings!$D$7=0),'Small Dist Weight'!P129,IF(AND(settings!$D$4=0,settings!$D$7=1),T129,IF(AND(settings!$D$4=1,settings!$D$7=0),S129,U129)))</f>
        <v>572.11646551724141</v>
      </c>
    </row>
    <row r="130" spans="1:22">
      <c r="A130" t="str">
        <f>'Student Enrollment Data'!A132</f>
        <v>465</v>
      </c>
      <c r="B130">
        <f>'Student Enrollment Data'!B132</f>
        <v>465</v>
      </c>
      <c r="C130" t="str">
        <f>'Student Enrollment Data'!C132</f>
        <v>North Valley Academy # 465</v>
      </c>
      <c r="D130">
        <v>1</v>
      </c>
      <c r="E130" s="37">
        <f>IF(settings!$G$4=0,'Student Enrollment Data'!BA132,'Student Enrollment Data'!CN132)</f>
        <v>125.5</v>
      </c>
      <c r="F130" s="37">
        <f>IF(settings!$G$4=0,'Student Enrollment Data'!BB132,'Student Enrollment Data'!CO132)</f>
        <v>88</v>
      </c>
      <c r="G130" s="37">
        <f t="shared" si="15"/>
        <v>1</v>
      </c>
      <c r="H130" s="37">
        <f t="shared" si="16"/>
        <v>1</v>
      </c>
      <c r="I130" s="37">
        <f t="shared" si="17"/>
        <v>1</v>
      </c>
      <c r="J130" s="39">
        <f t="shared" si="18"/>
        <v>1.6506818181818181</v>
      </c>
      <c r="K130" s="39">
        <f t="shared" si="19"/>
        <v>1.943793103448276</v>
      </c>
      <c r="L130" s="39">
        <f t="shared" si="20"/>
        <v>1.4510227272727274</v>
      </c>
      <c r="M130" s="39">
        <f t="shared" si="21"/>
        <v>1.8906896551724137</v>
      </c>
      <c r="N130" s="39">
        <f t="shared" si="22"/>
        <v>207.16056818181818</v>
      </c>
      <c r="O130" s="39">
        <f t="shared" si="23"/>
        <v>171.0537931034483</v>
      </c>
      <c r="P130" s="39">
        <f t="shared" si="24"/>
        <v>378.21436128526648</v>
      </c>
      <c r="Q130" s="39">
        <f t="shared" si="25"/>
        <v>182.10335227272728</v>
      </c>
      <c r="R130" s="39">
        <f t="shared" si="26"/>
        <v>166.3806896551724</v>
      </c>
      <c r="S130" s="40">
        <f t="shared" si="27"/>
        <v>348.48404192789968</v>
      </c>
      <c r="T130">
        <f t="shared" si="28"/>
        <v>213.5</v>
      </c>
      <c r="U130">
        <f t="shared" si="29"/>
        <v>213.5</v>
      </c>
      <c r="V130">
        <f>IF(AND(settings!$D$4=0,settings!$D$7=0),'Small Dist Weight'!P130,IF(AND(settings!$D$4=0,settings!$D$7=1),T130,IF(AND(settings!$D$4=1,settings!$D$7=0),S130,U130)))</f>
        <v>348.48404192789968</v>
      </c>
    </row>
    <row r="131" spans="1:22">
      <c r="A131" t="str">
        <f>'Student Enrollment Data'!A133</f>
        <v>466</v>
      </c>
      <c r="B131">
        <f>'Student Enrollment Data'!B133</f>
        <v>466</v>
      </c>
      <c r="C131" t="str">
        <f>'Student Enrollment Data'!C133</f>
        <v>iSucceed Virtual High School # 466</v>
      </c>
      <c r="D131">
        <v>1</v>
      </c>
      <c r="E131" s="37">
        <f>IF(settings!$G$4=0,'Student Enrollment Data'!BA133,'Student Enrollment Data'!CN133)</f>
        <v>0</v>
      </c>
      <c r="F131" s="37">
        <f>IF(settings!$G$4=0,'Student Enrollment Data'!BB133,'Student Enrollment Data'!CO133)</f>
        <v>562</v>
      </c>
      <c r="G131" s="37">
        <f t="shared" ref="G131:G159" si="30">IF(E131&lt;$X$5,1,0)</f>
        <v>1</v>
      </c>
      <c r="H131" s="37">
        <f t="shared" ref="H131:H159" si="31">IF(F131&lt;$X$6,1,0)</f>
        <v>1</v>
      </c>
      <c r="I131" s="37">
        <f t="shared" ref="I131:I159" si="32">IF(SUM(G131:H131)=2,1,0)</f>
        <v>1</v>
      </c>
      <c r="J131" s="39">
        <f t="shared" ref="J131:J159" si="33">IF(E131&lt;=$AA$5,1+$Y$5,IF(G131=1,1+($Y$5-(E131*($Y$5/$X$5))),""))</f>
        <v>2.0499999999999998</v>
      </c>
      <c r="K131" s="39">
        <f t="shared" ref="K131:K159" si="34">IF(F131&lt;=$AA$6,1+$Y$6,IF(H131=1,1+($Y$6-(F131*($Y$6/$X$6))),""))</f>
        <v>1.3717241379310345</v>
      </c>
      <c r="L131" s="39">
        <f t="shared" ref="L131:L159" si="35">IF(E131&lt;=$AA$5,1+$Y$10,IF(AND(E131&gt;=$Z$10,E131&lt;$X$10),1-$AA$10+($AA$11-(E131*$AB$10)),IF(AND(E131&lt;$Z$11,E131&lt;$X$11),1+$AA$10+($AA$11-(E131*$AB$11)),0)))</f>
        <v>2.0499999999999998</v>
      </c>
      <c r="M131" s="39">
        <f t="shared" ref="M131:M159" si="36">IF(F131&lt;+$AA$6,1+$Y$12,IF(AND(F131&gt;=$Z$12,F131&lt;$X$12),1-$AA$12+($AA$13-(F131*$AB$12)),IF(AND(F131&lt;$Z$13,F131&lt;$X$13),1+$AA$12+($AA$13-(F131*$AB$13)),0)))</f>
        <v>1.1858620689655175</v>
      </c>
      <c r="N131" s="39">
        <f t="shared" ref="N131:N159" si="37">IF(G131=1,J131*E131,E131)</f>
        <v>0</v>
      </c>
      <c r="O131" s="39">
        <f t="shared" ref="O131:O159" si="38">IF(H131=1,K131*F131,F131)</f>
        <v>770.90896551724143</v>
      </c>
      <c r="P131" s="39">
        <f t="shared" ref="P131:P159" si="39">SUM(N131:O131)</f>
        <v>770.90896551724143</v>
      </c>
      <c r="Q131" s="39">
        <f t="shared" ref="Q131:Q159" si="40">IF(G131=1,E131*L131,E131)</f>
        <v>0</v>
      </c>
      <c r="R131" s="39">
        <f t="shared" ref="R131:R159" si="41">IF(H131=1,F131*M131,F131)</f>
        <v>666.45448275862088</v>
      </c>
      <c r="S131" s="40">
        <f t="shared" ref="S131:S159" si="42">SUM(Q131:R131)</f>
        <v>666.45448275862088</v>
      </c>
      <c r="T131">
        <f t="shared" ref="T131:T159" si="43">IF(D131=0,P131,E131+F131)</f>
        <v>562</v>
      </c>
      <c r="U131">
        <f t="shared" ref="U131:U159" si="44">IF(D131=0,S131,E131+F131)</f>
        <v>562</v>
      </c>
      <c r="V131">
        <f>IF(AND(settings!$D$4=0,settings!$D$7=0),'Small Dist Weight'!P131,IF(AND(settings!$D$4=0,settings!$D$7=1),T131,IF(AND(settings!$D$4=1,settings!$D$7=0),S131,U131)))</f>
        <v>666.45448275862088</v>
      </c>
    </row>
    <row r="132" spans="1:22">
      <c r="A132" t="str">
        <f>'Student Enrollment Data'!A134</f>
        <v>468</v>
      </c>
      <c r="B132">
        <f>'Student Enrollment Data'!B134</f>
        <v>468</v>
      </c>
      <c r="C132" t="str">
        <f>'Student Enrollment Data'!C134</f>
        <v>Idaho Science and Technology Charter School #468</v>
      </c>
      <c r="D132">
        <v>1</v>
      </c>
      <c r="E132" s="37">
        <f>IF(settings!$G$4=0,'Student Enrollment Data'!BA134,'Student Enrollment Data'!CN134)</f>
        <v>176</v>
      </c>
      <c r="F132" s="37">
        <f>IF(settings!$G$4=0,'Student Enrollment Data'!BB134,'Student Enrollment Data'!CO134)</f>
        <v>97</v>
      </c>
      <c r="G132" s="37">
        <f t="shared" si="30"/>
        <v>1</v>
      </c>
      <c r="H132" s="37">
        <f t="shared" si="31"/>
        <v>1</v>
      </c>
      <c r="I132" s="37">
        <f t="shared" si="32"/>
        <v>1</v>
      </c>
      <c r="J132" s="39">
        <f t="shared" si="33"/>
        <v>1.49</v>
      </c>
      <c r="K132" s="39">
        <f t="shared" si="34"/>
        <v>1.9329310344827586</v>
      </c>
      <c r="L132" s="39">
        <f t="shared" si="35"/>
        <v>1.2450000000000001</v>
      </c>
      <c r="M132" s="39">
        <f t="shared" si="36"/>
        <v>1.8743965517241379</v>
      </c>
      <c r="N132" s="39">
        <f t="shared" si="37"/>
        <v>262.24</v>
      </c>
      <c r="O132" s="39">
        <f t="shared" si="38"/>
        <v>187.4943103448276</v>
      </c>
      <c r="P132" s="39">
        <f t="shared" si="39"/>
        <v>449.73431034482758</v>
      </c>
      <c r="Q132" s="39">
        <f t="shared" si="40"/>
        <v>219.12</v>
      </c>
      <c r="R132" s="39">
        <f t="shared" si="41"/>
        <v>181.81646551724137</v>
      </c>
      <c r="S132" s="40">
        <f t="shared" si="42"/>
        <v>400.93646551724134</v>
      </c>
      <c r="T132">
        <f t="shared" si="43"/>
        <v>273</v>
      </c>
      <c r="U132">
        <f t="shared" si="44"/>
        <v>273</v>
      </c>
      <c r="V132">
        <f>IF(AND(settings!$D$4=0,settings!$D$7=0),'Small Dist Weight'!P132,IF(AND(settings!$D$4=0,settings!$D$7=1),T132,IF(AND(settings!$D$4=1,settings!$D$7=0),S132,U132)))</f>
        <v>400.93646551724134</v>
      </c>
    </row>
    <row r="133" spans="1:22">
      <c r="A133" t="str">
        <f>'Student Enrollment Data'!A135</f>
        <v>469</v>
      </c>
      <c r="B133">
        <f>'Student Enrollment Data'!B135</f>
        <v>469</v>
      </c>
      <c r="C133" t="str">
        <f>'Student Enrollment Data'!C135</f>
        <v>Idaho Connects Online (ICON) #469</v>
      </c>
      <c r="D133">
        <v>1</v>
      </c>
      <c r="E133" s="37">
        <f>IF(settings!$G$4=0,'Student Enrollment Data'!BA135,'Student Enrollment Data'!CN135)</f>
        <v>6</v>
      </c>
      <c r="F133" s="37">
        <f>IF(settings!$G$4=0,'Student Enrollment Data'!BB135,'Student Enrollment Data'!CO135)</f>
        <v>220</v>
      </c>
      <c r="G133" s="37">
        <f t="shared" si="30"/>
        <v>1</v>
      </c>
      <c r="H133" s="37">
        <f t="shared" si="31"/>
        <v>1</v>
      </c>
      <c r="I133" s="37">
        <f t="shared" si="32"/>
        <v>1</v>
      </c>
      <c r="J133" s="39">
        <f t="shared" si="33"/>
        <v>2.0499999999999998</v>
      </c>
      <c r="K133" s="39">
        <f t="shared" si="34"/>
        <v>1.7844827586206897</v>
      </c>
      <c r="L133" s="39">
        <f t="shared" si="35"/>
        <v>2.0499999999999998</v>
      </c>
      <c r="M133" s="39">
        <f t="shared" si="36"/>
        <v>1.6517241379310346</v>
      </c>
      <c r="N133" s="39">
        <f t="shared" si="37"/>
        <v>12.299999999999999</v>
      </c>
      <c r="O133" s="39">
        <f t="shared" si="38"/>
        <v>392.58620689655174</v>
      </c>
      <c r="P133" s="39">
        <f t="shared" si="39"/>
        <v>404.88620689655176</v>
      </c>
      <c r="Q133" s="39">
        <f t="shared" si="40"/>
        <v>12.299999999999999</v>
      </c>
      <c r="R133" s="39">
        <f t="shared" si="41"/>
        <v>363.37931034482762</v>
      </c>
      <c r="S133" s="40">
        <f t="shared" si="42"/>
        <v>375.67931034482763</v>
      </c>
      <c r="T133">
        <f t="shared" si="43"/>
        <v>226</v>
      </c>
      <c r="U133">
        <f t="shared" si="44"/>
        <v>226</v>
      </c>
      <c r="V133">
        <f>IF(AND(settings!$D$4=0,settings!$D$7=0),'Small Dist Weight'!P133,IF(AND(settings!$D$4=0,settings!$D$7=1),T133,IF(AND(settings!$D$4=1,settings!$D$7=0),S133,U133)))</f>
        <v>375.67931034482763</v>
      </c>
    </row>
    <row r="134" spans="1:22">
      <c r="A134" t="str">
        <f>'Student Enrollment Data'!A136</f>
        <v>470</v>
      </c>
      <c r="B134">
        <f>'Student Enrollment Data'!B136</f>
        <v>470</v>
      </c>
      <c r="C134" t="str">
        <f>'Student Enrollment Data'!C136</f>
        <v>Kootenai Bridge Academy #470</v>
      </c>
      <c r="D134">
        <v>1</v>
      </c>
      <c r="E134" s="37">
        <f>IF(settings!$G$4=0,'Student Enrollment Data'!BA136,'Student Enrollment Data'!CN136)</f>
        <v>0</v>
      </c>
      <c r="F134" s="37">
        <f>IF(settings!$G$4=0,'Student Enrollment Data'!BB136,'Student Enrollment Data'!CO136)</f>
        <v>308</v>
      </c>
      <c r="G134" s="37">
        <f t="shared" si="30"/>
        <v>1</v>
      </c>
      <c r="H134" s="37">
        <f t="shared" si="31"/>
        <v>1</v>
      </c>
      <c r="I134" s="37">
        <f t="shared" si="32"/>
        <v>1</v>
      </c>
      <c r="J134" s="39">
        <f t="shared" si="33"/>
        <v>2.0499999999999998</v>
      </c>
      <c r="K134" s="39">
        <f t="shared" si="34"/>
        <v>1.6782758620689655</v>
      </c>
      <c r="L134" s="39">
        <f t="shared" si="35"/>
        <v>2.0499999999999998</v>
      </c>
      <c r="M134" s="39">
        <f t="shared" si="36"/>
        <v>1.4924137931034482</v>
      </c>
      <c r="N134" s="39">
        <f t="shared" si="37"/>
        <v>0</v>
      </c>
      <c r="O134" s="39">
        <f t="shared" si="38"/>
        <v>516.90896551724143</v>
      </c>
      <c r="P134" s="39">
        <f t="shared" si="39"/>
        <v>516.90896551724143</v>
      </c>
      <c r="Q134" s="39">
        <f t="shared" si="40"/>
        <v>0</v>
      </c>
      <c r="R134" s="39">
        <f t="shared" si="41"/>
        <v>459.66344827586204</v>
      </c>
      <c r="S134" s="40">
        <f t="shared" si="42"/>
        <v>459.66344827586204</v>
      </c>
      <c r="T134">
        <f t="shared" si="43"/>
        <v>308</v>
      </c>
      <c r="U134">
        <f t="shared" si="44"/>
        <v>308</v>
      </c>
      <c r="V134">
        <f>IF(AND(settings!$D$4=0,settings!$D$7=0),'Small Dist Weight'!P134,IF(AND(settings!$D$4=0,settings!$D$7=1),T134,IF(AND(settings!$D$4=1,settings!$D$7=0),S134,U134)))</f>
        <v>459.66344827586204</v>
      </c>
    </row>
    <row r="135" spans="1:22">
      <c r="A135" t="str">
        <f>'Student Enrollment Data'!A137</f>
        <v>472</v>
      </c>
      <c r="B135">
        <f>'Student Enrollment Data'!B137</f>
        <v>472</v>
      </c>
      <c r="C135" t="str">
        <f>'Student Enrollment Data'!C137</f>
        <v>Palouse Prairie Charter School #472</v>
      </c>
      <c r="D135">
        <v>1</v>
      </c>
      <c r="E135" s="37">
        <f>IF(settings!$G$4=0,'Student Enrollment Data'!BA137,'Student Enrollment Data'!CN137)</f>
        <v>141</v>
      </c>
      <c r="F135" s="37">
        <f>IF(settings!$G$4=0,'Student Enrollment Data'!BB137,'Student Enrollment Data'!CO137)</f>
        <v>30</v>
      </c>
      <c r="G135" s="37">
        <f t="shared" si="30"/>
        <v>1</v>
      </c>
      <c r="H135" s="37">
        <f t="shared" si="31"/>
        <v>1</v>
      </c>
      <c r="I135" s="37">
        <f t="shared" si="32"/>
        <v>1</v>
      </c>
      <c r="J135" s="39">
        <f t="shared" si="33"/>
        <v>1.6013636363636363</v>
      </c>
      <c r="K135" s="39">
        <f t="shared" si="34"/>
        <v>2.0499999999999998</v>
      </c>
      <c r="L135" s="39">
        <f t="shared" si="35"/>
        <v>1.3770454545454545</v>
      </c>
      <c r="M135" s="39">
        <f t="shared" si="36"/>
        <v>1.9956896551724137</v>
      </c>
      <c r="N135" s="39">
        <f t="shared" si="37"/>
        <v>225.79227272727272</v>
      </c>
      <c r="O135" s="39">
        <f t="shared" si="38"/>
        <v>61.499999999999993</v>
      </c>
      <c r="P135" s="39">
        <f t="shared" si="39"/>
        <v>287.29227272727269</v>
      </c>
      <c r="Q135" s="39">
        <f t="shared" si="40"/>
        <v>194.16340909090908</v>
      </c>
      <c r="R135" s="39">
        <f t="shared" si="41"/>
        <v>59.870689655172413</v>
      </c>
      <c r="S135" s="40">
        <f t="shared" si="42"/>
        <v>254.0340987460815</v>
      </c>
      <c r="T135">
        <f t="shared" si="43"/>
        <v>171</v>
      </c>
      <c r="U135">
        <f t="shared" si="44"/>
        <v>171</v>
      </c>
      <c r="V135">
        <f>IF(AND(settings!$D$4=0,settings!$D$7=0),'Small Dist Weight'!P135,IF(AND(settings!$D$4=0,settings!$D$7=1),T135,IF(AND(settings!$D$4=1,settings!$D$7=0),S135,U135)))</f>
        <v>254.0340987460815</v>
      </c>
    </row>
    <row r="136" spans="1:22">
      <c r="A136" t="str">
        <f>'Student Enrollment Data'!A138</f>
        <v>473</v>
      </c>
      <c r="B136">
        <f>'Student Enrollment Data'!B138</f>
        <v>473</v>
      </c>
      <c r="C136" t="str">
        <f>'Student Enrollment Data'!C138</f>
        <v>The Village Charter School #473</v>
      </c>
      <c r="D136">
        <v>1</v>
      </c>
      <c r="E136" s="37">
        <f>IF(settings!$G$4=0,'Student Enrollment Data'!BA138,'Student Enrollment Data'!CN138)</f>
        <v>356.5</v>
      </c>
      <c r="F136" s="37">
        <f>IF(settings!$G$4=0,'Student Enrollment Data'!BB138,'Student Enrollment Data'!CO138)</f>
        <v>104</v>
      </c>
      <c r="G136" s="37">
        <f t="shared" si="30"/>
        <v>0</v>
      </c>
      <c r="H136" s="37">
        <f t="shared" si="31"/>
        <v>1</v>
      </c>
      <c r="I136" s="37">
        <f t="shared" si="32"/>
        <v>0</v>
      </c>
      <c r="J136" s="39" t="str">
        <f t="shared" si="33"/>
        <v/>
      </c>
      <c r="K136" s="39">
        <f t="shared" si="34"/>
        <v>1.9244827586206896</v>
      </c>
      <c r="L136" s="39">
        <f t="shared" si="35"/>
        <v>0</v>
      </c>
      <c r="M136" s="39">
        <f t="shared" si="36"/>
        <v>1.8617241379310345</v>
      </c>
      <c r="N136" s="39">
        <f t="shared" si="37"/>
        <v>356.5</v>
      </c>
      <c r="O136" s="39">
        <f t="shared" si="38"/>
        <v>200.14620689655172</v>
      </c>
      <c r="P136" s="39">
        <f t="shared" si="39"/>
        <v>556.64620689655169</v>
      </c>
      <c r="Q136" s="39">
        <f t="shared" si="40"/>
        <v>356.5</v>
      </c>
      <c r="R136" s="39">
        <f t="shared" si="41"/>
        <v>193.6193103448276</v>
      </c>
      <c r="S136" s="40">
        <f t="shared" si="42"/>
        <v>550.11931034482757</v>
      </c>
      <c r="T136">
        <f t="shared" si="43"/>
        <v>460.5</v>
      </c>
      <c r="U136">
        <f t="shared" si="44"/>
        <v>460.5</v>
      </c>
      <c r="V136">
        <f>IF(AND(settings!$D$4=0,settings!$D$7=0),'Small Dist Weight'!P136,IF(AND(settings!$D$4=0,settings!$D$7=1),T136,IF(AND(settings!$D$4=1,settings!$D$7=0),S136,U136)))</f>
        <v>550.11931034482757</v>
      </c>
    </row>
    <row r="137" spans="1:22">
      <c r="A137" t="str">
        <f>'Student Enrollment Data'!A139</f>
        <v>474</v>
      </c>
      <c r="B137">
        <f>'Student Enrollment Data'!B139</f>
        <v>474</v>
      </c>
      <c r="C137" t="str">
        <f>'Student Enrollment Data'!C139</f>
        <v>Monticello Montessori Charter School #474</v>
      </c>
      <c r="D137">
        <v>1</v>
      </c>
      <c r="E137" s="37">
        <f>IF(settings!$G$4=0,'Student Enrollment Data'!BA139,'Student Enrollment Data'!CN139)</f>
        <v>195.5</v>
      </c>
      <c r="F137" s="37">
        <f>IF(settings!$G$4=0,'Student Enrollment Data'!BB139,'Student Enrollment Data'!CO139)</f>
        <v>18</v>
      </c>
      <c r="G137" s="37">
        <f t="shared" si="30"/>
        <v>1</v>
      </c>
      <c r="H137" s="37">
        <f t="shared" si="31"/>
        <v>1</v>
      </c>
      <c r="I137" s="37">
        <f t="shared" si="32"/>
        <v>1</v>
      </c>
      <c r="J137" s="39">
        <f t="shared" si="33"/>
        <v>1.4279545454545455</v>
      </c>
      <c r="K137" s="39">
        <f t="shared" si="34"/>
        <v>2.0499999999999998</v>
      </c>
      <c r="L137" s="39">
        <f t="shared" si="35"/>
        <v>1.2139772727272728</v>
      </c>
      <c r="M137" s="39">
        <f t="shared" si="36"/>
        <v>2.0499999999999998</v>
      </c>
      <c r="N137" s="39">
        <f t="shared" si="37"/>
        <v>279.16511363636363</v>
      </c>
      <c r="O137" s="39">
        <f t="shared" si="38"/>
        <v>36.9</v>
      </c>
      <c r="P137" s="39">
        <f t="shared" si="39"/>
        <v>316.06511363636361</v>
      </c>
      <c r="Q137" s="39">
        <f t="shared" si="40"/>
        <v>237.33255681818184</v>
      </c>
      <c r="R137" s="39">
        <f t="shared" si="41"/>
        <v>36.9</v>
      </c>
      <c r="S137" s="40">
        <f t="shared" si="42"/>
        <v>274.23255681818182</v>
      </c>
      <c r="T137">
        <f t="shared" si="43"/>
        <v>213.5</v>
      </c>
      <c r="U137">
        <f t="shared" si="44"/>
        <v>213.5</v>
      </c>
      <c r="V137">
        <f>IF(AND(settings!$D$4=0,settings!$D$7=0),'Small Dist Weight'!P137,IF(AND(settings!$D$4=0,settings!$D$7=1),T137,IF(AND(settings!$D$4=1,settings!$D$7=0),S137,U137)))</f>
        <v>274.23255681818182</v>
      </c>
    </row>
    <row r="138" spans="1:22">
      <c r="A138" t="str">
        <f>'Student Enrollment Data'!A140</f>
        <v>475</v>
      </c>
      <c r="B138">
        <f>'Student Enrollment Data'!B140</f>
        <v>475</v>
      </c>
      <c r="C138" t="str">
        <f>'Student Enrollment Data'!C140</f>
        <v>Sage International School of Boise #475</v>
      </c>
      <c r="D138">
        <v>1</v>
      </c>
      <c r="E138" s="37">
        <f>IF(settings!$G$4=0,'Student Enrollment Data'!BA140,'Student Enrollment Data'!CN140)</f>
        <v>523.5</v>
      </c>
      <c r="F138" s="37">
        <f>IF(settings!$G$4=0,'Student Enrollment Data'!BB140,'Student Enrollment Data'!CO140)</f>
        <v>433</v>
      </c>
      <c r="G138" s="37">
        <f t="shared" si="30"/>
        <v>0</v>
      </c>
      <c r="H138" s="37">
        <f t="shared" si="31"/>
        <v>1</v>
      </c>
      <c r="I138" s="37">
        <f t="shared" si="32"/>
        <v>0</v>
      </c>
      <c r="J138" s="39" t="str">
        <f t="shared" si="33"/>
        <v/>
      </c>
      <c r="K138" s="39">
        <f t="shared" si="34"/>
        <v>1.5274137931034484</v>
      </c>
      <c r="L138" s="39">
        <f t="shared" si="35"/>
        <v>0</v>
      </c>
      <c r="M138" s="39">
        <f t="shared" si="36"/>
        <v>1.2661206896551724</v>
      </c>
      <c r="N138" s="39">
        <f t="shared" si="37"/>
        <v>523.5</v>
      </c>
      <c r="O138" s="39">
        <f t="shared" si="38"/>
        <v>661.37017241379317</v>
      </c>
      <c r="P138" s="39">
        <f t="shared" si="39"/>
        <v>1184.8701724137932</v>
      </c>
      <c r="Q138" s="39">
        <f t="shared" si="40"/>
        <v>523.5</v>
      </c>
      <c r="R138" s="39">
        <f t="shared" si="41"/>
        <v>548.23025862068971</v>
      </c>
      <c r="S138" s="40">
        <f t="shared" si="42"/>
        <v>1071.7302586206897</v>
      </c>
      <c r="T138">
        <f t="shared" si="43"/>
        <v>956.5</v>
      </c>
      <c r="U138">
        <f t="shared" si="44"/>
        <v>956.5</v>
      </c>
      <c r="V138">
        <f>IF(AND(settings!$D$4=0,settings!$D$7=0),'Small Dist Weight'!P138,IF(AND(settings!$D$4=0,settings!$D$7=1),T138,IF(AND(settings!$D$4=1,settings!$D$7=0),S138,U138)))</f>
        <v>1071.7302586206897</v>
      </c>
    </row>
    <row r="139" spans="1:22">
      <c r="A139" t="str">
        <f>'Student Enrollment Data'!A141</f>
        <v>476</v>
      </c>
      <c r="B139">
        <f>'Student Enrollment Data'!B141</f>
        <v>476</v>
      </c>
      <c r="C139" t="str">
        <f>'Student Enrollment Data'!C141</f>
        <v>Another Choice Virtual Charter School #476</v>
      </c>
      <c r="D139">
        <v>1</v>
      </c>
      <c r="E139" s="37">
        <f>IF(settings!$G$4=0,'Student Enrollment Data'!BA141,'Student Enrollment Data'!CN141)</f>
        <v>120</v>
      </c>
      <c r="F139" s="37">
        <f>IF(settings!$G$4=0,'Student Enrollment Data'!BB141,'Student Enrollment Data'!CO141)</f>
        <v>407</v>
      </c>
      <c r="G139" s="37">
        <f t="shared" si="30"/>
        <v>1</v>
      </c>
      <c r="H139" s="37">
        <f t="shared" si="31"/>
        <v>1</v>
      </c>
      <c r="I139" s="37">
        <f t="shared" si="32"/>
        <v>1</v>
      </c>
      <c r="J139" s="39">
        <f t="shared" si="33"/>
        <v>1.6681818181818182</v>
      </c>
      <c r="K139" s="39">
        <f t="shared" si="34"/>
        <v>1.5587931034482758</v>
      </c>
      <c r="L139" s="39">
        <f t="shared" si="35"/>
        <v>1.4772727272727273</v>
      </c>
      <c r="M139" s="39">
        <f t="shared" si="36"/>
        <v>1.3131896551724138</v>
      </c>
      <c r="N139" s="39">
        <f t="shared" si="37"/>
        <v>200.18181818181819</v>
      </c>
      <c r="O139" s="39">
        <f t="shared" si="38"/>
        <v>634.42879310344824</v>
      </c>
      <c r="P139" s="39">
        <f t="shared" si="39"/>
        <v>834.61061128526649</v>
      </c>
      <c r="Q139" s="39">
        <f t="shared" si="40"/>
        <v>177.27272727272728</v>
      </c>
      <c r="R139" s="39">
        <f t="shared" si="41"/>
        <v>534.46818965517241</v>
      </c>
      <c r="S139" s="40">
        <f t="shared" si="42"/>
        <v>711.74091692789966</v>
      </c>
      <c r="T139">
        <f t="shared" si="43"/>
        <v>527</v>
      </c>
      <c r="U139">
        <f t="shared" si="44"/>
        <v>527</v>
      </c>
      <c r="V139">
        <f>IF(AND(settings!$D$4=0,settings!$D$7=0),'Small Dist Weight'!P139,IF(AND(settings!$D$4=0,settings!$D$7=1),T139,IF(AND(settings!$D$4=1,settings!$D$7=0),S139,U139)))</f>
        <v>711.74091692789966</v>
      </c>
    </row>
    <row r="140" spans="1:22">
      <c r="A140" t="str">
        <f>'Student Enrollment Data'!A142</f>
        <v>477</v>
      </c>
      <c r="B140">
        <f>'Student Enrollment Data'!B142</f>
        <v>477</v>
      </c>
      <c r="C140" t="str">
        <f>'Student Enrollment Data'!C142</f>
        <v>Blackfoot Charter Community Learning Center #477</v>
      </c>
      <c r="D140">
        <v>1</v>
      </c>
      <c r="E140" s="37">
        <f>IF(settings!$G$4=0,'Student Enrollment Data'!BA142,'Student Enrollment Data'!CN142)</f>
        <v>491</v>
      </c>
      <c r="F140" s="37">
        <f>IF(settings!$G$4=0,'Student Enrollment Data'!BB142,'Student Enrollment Data'!CO142)</f>
        <v>100</v>
      </c>
      <c r="G140" s="37">
        <f t="shared" si="30"/>
        <v>0</v>
      </c>
      <c r="H140" s="37">
        <f t="shared" si="31"/>
        <v>1</v>
      </c>
      <c r="I140" s="37">
        <f t="shared" si="32"/>
        <v>0</v>
      </c>
      <c r="J140" s="39" t="str">
        <f t="shared" si="33"/>
        <v/>
      </c>
      <c r="K140" s="39">
        <f t="shared" si="34"/>
        <v>1.9293103448275861</v>
      </c>
      <c r="L140" s="39">
        <f t="shared" si="35"/>
        <v>0</v>
      </c>
      <c r="M140" s="39">
        <f t="shared" si="36"/>
        <v>1.8689655172413793</v>
      </c>
      <c r="N140" s="39">
        <f t="shared" si="37"/>
        <v>491</v>
      </c>
      <c r="O140" s="39">
        <f t="shared" si="38"/>
        <v>192.93103448275861</v>
      </c>
      <c r="P140" s="39">
        <f t="shared" si="39"/>
        <v>683.93103448275861</v>
      </c>
      <c r="Q140" s="39">
        <f t="shared" si="40"/>
        <v>491</v>
      </c>
      <c r="R140" s="39">
        <f t="shared" si="41"/>
        <v>186.89655172413794</v>
      </c>
      <c r="S140" s="40">
        <f t="shared" si="42"/>
        <v>677.89655172413791</v>
      </c>
      <c r="T140">
        <f t="shared" si="43"/>
        <v>591</v>
      </c>
      <c r="U140">
        <f t="shared" si="44"/>
        <v>591</v>
      </c>
      <c r="V140">
        <f>IF(AND(settings!$D$4=0,settings!$D$7=0),'Small Dist Weight'!P140,IF(AND(settings!$D$4=0,settings!$D$7=1),T140,IF(AND(settings!$D$4=1,settings!$D$7=0),S140,U140)))</f>
        <v>677.89655172413791</v>
      </c>
    </row>
    <row r="141" spans="1:22">
      <c r="A141" t="str">
        <f>'Student Enrollment Data'!A143</f>
        <v>478</v>
      </c>
      <c r="B141">
        <f>'Student Enrollment Data'!B143</f>
        <v>478</v>
      </c>
      <c r="C141" t="str">
        <f>'Student Enrollment Data'!C143</f>
        <v>Legacy Charter School #478</v>
      </c>
      <c r="D141">
        <v>1</v>
      </c>
      <c r="E141" s="37">
        <f>IF(settings!$G$4=0,'Student Enrollment Data'!BA143,'Student Enrollment Data'!CN143)</f>
        <v>214</v>
      </c>
      <c r="F141" s="37">
        <f>IF(settings!$G$4=0,'Student Enrollment Data'!BB143,'Student Enrollment Data'!CO143)</f>
        <v>73</v>
      </c>
      <c r="G141" s="37">
        <f t="shared" si="30"/>
        <v>1</v>
      </c>
      <c r="H141" s="37">
        <f t="shared" si="31"/>
        <v>1</v>
      </c>
      <c r="I141" s="37">
        <f t="shared" si="32"/>
        <v>1</v>
      </c>
      <c r="J141" s="39">
        <f t="shared" si="33"/>
        <v>1.3690909090909091</v>
      </c>
      <c r="K141" s="39">
        <f t="shared" si="34"/>
        <v>1.961896551724138</v>
      </c>
      <c r="L141" s="39">
        <f t="shared" si="35"/>
        <v>1.1845454545454546</v>
      </c>
      <c r="M141" s="39">
        <f t="shared" si="36"/>
        <v>1.917844827586207</v>
      </c>
      <c r="N141" s="39">
        <f t="shared" si="37"/>
        <v>292.98545454545456</v>
      </c>
      <c r="O141" s="39">
        <f t="shared" si="38"/>
        <v>143.21844827586207</v>
      </c>
      <c r="P141" s="39">
        <f t="shared" si="39"/>
        <v>436.20390282131666</v>
      </c>
      <c r="Q141" s="39">
        <f t="shared" si="40"/>
        <v>253.49272727272728</v>
      </c>
      <c r="R141" s="39">
        <f t="shared" si="41"/>
        <v>140.00267241379311</v>
      </c>
      <c r="S141" s="40">
        <f t="shared" si="42"/>
        <v>393.49539968652039</v>
      </c>
      <c r="T141">
        <f t="shared" si="43"/>
        <v>287</v>
      </c>
      <c r="U141">
        <f t="shared" si="44"/>
        <v>287</v>
      </c>
      <c r="V141">
        <f>IF(AND(settings!$D$4=0,settings!$D$7=0),'Small Dist Weight'!P141,IF(AND(settings!$D$4=0,settings!$D$7=1),T141,IF(AND(settings!$D$4=1,settings!$D$7=0),S141,U141)))</f>
        <v>393.49539968652039</v>
      </c>
    </row>
    <row r="142" spans="1:22">
      <c r="A142" t="str">
        <f>'Student Enrollment Data'!A144</f>
        <v>479</v>
      </c>
      <c r="B142">
        <f>'Student Enrollment Data'!B144</f>
        <v>479</v>
      </c>
      <c r="C142" t="str">
        <f>'Student Enrollment Data'!C144</f>
        <v>Heritage Academy #479</v>
      </c>
      <c r="D142">
        <v>1</v>
      </c>
      <c r="E142" s="37">
        <f>IF(settings!$G$4=0,'Student Enrollment Data'!BA144,'Student Enrollment Data'!CN144)</f>
        <v>111</v>
      </c>
      <c r="F142" s="37">
        <f>IF(settings!$G$4=0,'Student Enrollment Data'!BB144,'Student Enrollment Data'!CO144)</f>
        <v>50</v>
      </c>
      <c r="G142" s="37">
        <f t="shared" si="30"/>
        <v>1</v>
      </c>
      <c r="H142" s="37">
        <f t="shared" si="31"/>
        <v>1</v>
      </c>
      <c r="I142" s="37">
        <f t="shared" si="32"/>
        <v>1</v>
      </c>
      <c r="J142" s="39">
        <f t="shared" si="33"/>
        <v>1.6968181818181818</v>
      </c>
      <c r="K142" s="39">
        <f t="shared" si="34"/>
        <v>1.9896551724137932</v>
      </c>
      <c r="L142" s="39">
        <f t="shared" si="35"/>
        <v>1.5202272727272728</v>
      </c>
      <c r="M142" s="39">
        <f t="shared" si="36"/>
        <v>1.9594827586206898</v>
      </c>
      <c r="N142" s="39">
        <f t="shared" si="37"/>
        <v>188.34681818181818</v>
      </c>
      <c r="O142" s="39">
        <f t="shared" si="38"/>
        <v>99.482758620689665</v>
      </c>
      <c r="P142" s="39">
        <f t="shared" si="39"/>
        <v>287.82957680250786</v>
      </c>
      <c r="Q142" s="39">
        <f t="shared" si="40"/>
        <v>168.74522727272728</v>
      </c>
      <c r="R142" s="39">
        <f t="shared" si="41"/>
        <v>97.974137931034491</v>
      </c>
      <c r="S142" s="40">
        <f t="shared" si="42"/>
        <v>266.71936520376175</v>
      </c>
      <c r="T142">
        <f t="shared" si="43"/>
        <v>161</v>
      </c>
      <c r="U142">
        <f t="shared" si="44"/>
        <v>161</v>
      </c>
      <c r="V142">
        <f>IF(AND(settings!$D$4=0,settings!$D$7=0),'Small Dist Weight'!P142,IF(AND(settings!$D$4=0,settings!$D$7=1),T142,IF(AND(settings!$D$4=1,settings!$D$7=0),S142,U142)))</f>
        <v>266.71936520376175</v>
      </c>
    </row>
    <row r="143" spans="1:22">
      <c r="A143" t="str">
        <f>'Student Enrollment Data'!A145</f>
        <v>480</v>
      </c>
      <c r="B143">
        <f>'Student Enrollment Data'!B145</f>
        <v>480</v>
      </c>
      <c r="C143" t="str">
        <f>'Student Enrollment Data'!C145</f>
        <v>STEM Charter Academy #480</v>
      </c>
      <c r="D143">
        <v>1</v>
      </c>
      <c r="E143" s="37">
        <f>IF(settings!$G$4=0,'Student Enrollment Data'!BA145,'Student Enrollment Data'!CN145)</f>
        <v>359.5</v>
      </c>
      <c r="F143" s="37">
        <f>IF(settings!$G$4=0,'Student Enrollment Data'!BB145,'Student Enrollment Data'!CO145)</f>
        <v>145</v>
      </c>
      <c r="G143" s="37">
        <f t="shared" si="30"/>
        <v>0</v>
      </c>
      <c r="H143" s="37">
        <f t="shared" si="31"/>
        <v>1</v>
      </c>
      <c r="I143" s="37">
        <f t="shared" si="32"/>
        <v>0</v>
      </c>
      <c r="J143" s="39" t="str">
        <f t="shared" si="33"/>
        <v/>
      </c>
      <c r="K143" s="39">
        <f t="shared" si="34"/>
        <v>1.875</v>
      </c>
      <c r="L143" s="39">
        <f t="shared" si="35"/>
        <v>0</v>
      </c>
      <c r="M143" s="39">
        <f t="shared" si="36"/>
        <v>1.7875000000000001</v>
      </c>
      <c r="N143" s="39">
        <f t="shared" si="37"/>
        <v>359.5</v>
      </c>
      <c r="O143" s="39">
        <f t="shared" si="38"/>
        <v>271.875</v>
      </c>
      <c r="P143" s="39">
        <f t="shared" si="39"/>
        <v>631.375</v>
      </c>
      <c r="Q143" s="39">
        <f t="shared" si="40"/>
        <v>359.5</v>
      </c>
      <c r="R143" s="39">
        <f t="shared" si="41"/>
        <v>259.1875</v>
      </c>
      <c r="S143" s="40">
        <f t="shared" si="42"/>
        <v>618.6875</v>
      </c>
      <c r="T143">
        <f t="shared" si="43"/>
        <v>504.5</v>
      </c>
      <c r="U143">
        <f t="shared" si="44"/>
        <v>504.5</v>
      </c>
      <c r="V143">
        <f>IF(AND(settings!$D$4=0,settings!$D$7=0),'Small Dist Weight'!P143,IF(AND(settings!$D$4=0,settings!$D$7=1),T143,IF(AND(settings!$D$4=1,settings!$D$7=0),S143,U143)))</f>
        <v>618.6875</v>
      </c>
    </row>
    <row r="144" spans="1:22">
      <c r="A144" t="str">
        <f>'Student Enrollment Data'!A146</f>
        <v>481</v>
      </c>
      <c r="B144">
        <f>'Student Enrollment Data'!B146</f>
        <v>481</v>
      </c>
      <c r="C144" t="str">
        <f>'Student Enrollment Data'!C146</f>
        <v>Heritage Community Charter School #481</v>
      </c>
      <c r="D144">
        <v>1</v>
      </c>
      <c r="E144" s="37">
        <f>IF(settings!$G$4=0,'Student Enrollment Data'!BA146,'Student Enrollment Data'!CN146)</f>
        <v>372</v>
      </c>
      <c r="F144" s="37">
        <f>IF(settings!$G$4=0,'Student Enrollment Data'!BB146,'Student Enrollment Data'!CO146)</f>
        <v>91</v>
      </c>
      <c r="G144" s="37">
        <f t="shared" si="30"/>
        <v>0</v>
      </c>
      <c r="H144" s="37">
        <f t="shared" si="31"/>
        <v>1</v>
      </c>
      <c r="I144" s="37">
        <f t="shared" si="32"/>
        <v>0</v>
      </c>
      <c r="J144" s="39" t="str">
        <f t="shared" si="33"/>
        <v/>
      </c>
      <c r="K144" s="39">
        <f t="shared" si="34"/>
        <v>1.9401724137931033</v>
      </c>
      <c r="L144" s="39">
        <f t="shared" si="35"/>
        <v>0</v>
      </c>
      <c r="M144" s="39">
        <f t="shared" si="36"/>
        <v>1.8852586206896551</v>
      </c>
      <c r="N144" s="39">
        <f t="shared" si="37"/>
        <v>372</v>
      </c>
      <c r="O144" s="39">
        <f t="shared" si="38"/>
        <v>176.55568965517242</v>
      </c>
      <c r="P144" s="39">
        <f t="shared" si="39"/>
        <v>548.55568965517239</v>
      </c>
      <c r="Q144" s="39">
        <f t="shared" si="40"/>
        <v>372</v>
      </c>
      <c r="R144" s="39">
        <f t="shared" si="41"/>
        <v>171.5585344827586</v>
      </c>
      <c r="S144" s="40">
        <f t="shared" si="42"/>
        <v>543.55853448275866</v>
      </c>
      <c r="T144">
        <f t="shared" si="43"/>
        <v>463</v>
      </c>
      <c r="U144">
        <f t="shared" si="44"/>
        <v>463</v>
      </c>
      <c r="V144">
        <f>IF(AND(settings!$D$4=0,settings!$D$7=0),'Small Dist Weight'!P144,IF(AND(settings!$D$4=0,settings!$D$7=1),T144,IF(AND(settings!$D$4=1,settings!$D$7=0),S144,U144)))</f>
        <v>543.55853448275866</v>
      </c>
    </row>
    <row r="145" spans="1:22">
      <c r="A145" t="str">
        <f>'Student Enrollment Data'!A147</f>
        <v>482</v>
      </c>
      <c r="B145">
        <f>'Student Enrollment Data'!B147</f>
        <v>482</v>
      </c>
      <c r="C145" t="str">
        <f>'Student Enrollment Data'!C147</f>
        <v>American Heritage Charter School #482</v>
      </c>
      <c r="D145">
        <v>1</v>
      </c>
      <c r="E145" s="37">
        <f>IF(settings!$G$4=0,'Student Enrollment Data'!BA147,'Student Enrollment Data'!CN147)</f>
        <v>225.5</v>
      </c>
      <c r="F145" s="37">
        <f>IF(settings!$G$4=0,'Student Enrollment Data'!BB147,'Student Enrollment Data'!CO147)</f>
        <v>114</v>
      </c>
      <c r="G145" s="37">
        <f t="shared" si="30"/>
        <v>1</v>
      </c>
      <c r="H145" s="37">
        <f t="shared" si="31"/>
        <v>1</v>
      </c>
      <c r="I145" s="37">
        <f t="shared" si="32"/>
        <v>1</v>
      </c>
      <c r="J145" s="39">
        <f t="shared" si="33"/>
        <v>1.3325</v>
      </c>
      <c r="K145" s="39">
        <f t="shared" si="34"/>
        <v>1.9124137931034482</v>
      </c>
      <c r="L145" s="39">
        <f t="shared" si="35"/>
        <v>1.1662500000000002</v>
      </c>
      <c r="M145" s="39">
        <f t="shared" si="36"/>
        <v>1.8436206896551726</v>
      </c>
      <c r="N145" s="39">
        <f t="shared" si="37"/>
        <v>300.47874999999999</v>
      </c>
      <c r="O145" s="39">
        <f t="shared" si="38"/>
        <v>218.0151724137931</v>
      </c>
      <c r="P145" s="39">
        <f t="shared" si="39"/>
        <v>518.49392241379314</v>
      </c>
      <c r="Q145" s="39">
        <f t="shared" si="40"/>
        <v>262.98937500000005</v>
      </c>
      <c r="R145" s="39">
        <f t="shared" si="41"/>
        <v>210.17275862068968</v>
      </c>
      <c r="S145" s="40">
        <f t="shared" si="42"/>
        <v>473.1621336206897</v>
      </c>
      <c r="T145">
        <f t="shared" si="43"/>
        <v>339.5</v>
      </c>
      <c r="U145">
        <f t="shared" si="44"/>
        <v>339.5</v>
      </c>
      <c r="V145">
        <f>IF(AND(settings!$D$4=0,settings!$D$7=0),'Small Dist Weight'!P145,IF(AND(settings!$D$4=0,settings!$D$7=1),T145,IF(AND(settings!$D$4=1,settings!$D$7=0),S145,U145)))</f>
        <v>473.1621336206897</v>
      </c>
    </row>
    <row r="146" spans="1:22">
      <c r="A146" t="str">
        <f>'Student Enrollment Data'!A148</f>
        <v>483</v>
      </c>
      <c r="B146">
        <f>'Student Enrollment Data'!B148</f>
        <v>483</v>
      </c>
      <c r="C146" t="str">
        <f>'Student Enrollment Data'!C148</f>
        <v>Chief Tahgee Elementary Academy #483</v>
      </c>
      <c r="D146">
        <v>1</v>
      </c>
      <c r="E146" s="37">
        <f>IF(settings!$G$4=0,'Student Enrollment Data'!BA148,'Student Enrollment Data'!CN148)</f>
        <v>74.5</v>
      </c>
      <c r="F146" s="37">
        <f>IF(settings!$G$4=0,'Student Enrollment Data'!BB148,'Student Enrollment Data'!CO148)</f>
        <v>3</v>
      </c>
      <c r="G146" s="37">
        <f t="shared" si="30"/>
        <v>1</v>
      </c>
      <c r="H146" s="37">
        <f t="shared" si="31"/>
        <v>1</v>
      </c>
      <c r="I146" s="37">
        <f t="shared" si="32"/>
        <v>1</v>
      </c>
      <c r="J146" s="39">
        <f t="shared" si="33"/>
        <v>1.8129545454545455</v>
      </c>
      <c r="K146" s="39">
        <f t="shared" si="34"/>
        <v>2.0499999999999998</v>
      </c>
      <c r="L146" s="39">
        <f t="shared" si="35"/>
        <v>1.6944318181818181</v>
      </c>
      <c r="M146" s="39">
        <f t="shared" si="36"/>
        <v>2.0499999999999998</v>
      </c>
      <c r="N146" s="39">
        <f t="shared" si="37"/>
        <v>135.06511363636363</v>
      </c>
      <c r="O146" s="39">
        <f t="shared" si="38"/>
        <v>6.1499999999999995</v>
      </c>
      <c r="P146" s="39">
        <f t="shared" si="39"/>
        <v>141.21511363636364</v>
      </c>
      <c r="Q146" s="39">
        <f t="shared" si="40"/>
        <v>126.23517045454545</v>
      </c>
      <c r="R146" s="39">
        <f t="shared" si="41"/>
        <v>6.1499999999999995</v>
      </c>
      <c r="S146" s="40">
        <f t="shared" si="42"/>
        <v>132.38517045454546</v>
      </c>
      <c r="T146">
        <f t="shared" si="43"/>
        <v>77.5</v>
      </c>
      <c r="U146">
        <f t="shared" si="44"/>
        <v>77.5</v>
      </c>
      <c r="V146">
        <f>IF(AND(settings!$D$4=0,settings!$D$7=0),'Small Dist Weight'!P146,IF(AND(settings!$D$4=0,settings!$D$7=1),T146,IF(AND(settings!$D$4=1,settings!$D$7=0),S146,U146)))</f>
        <v>132.38517045454546</v>
      </c>
    </row>
    <row r="147" spans="1:22">
      <c r="A147" t="str">
        <f>'Student Enrollment Data'!A149</f>
        <v>485</v>
      </c>
      <c r="B147">
        <f>'Student Enrollment Data'!B149</f>
        <v>485</v>
      </c>
      <c r="C147" t="str">
        <f>'Student Enrollment Data'!C149</f>
        <v>Bingham Academy #485</v>
      </c>
      <c r="D147">
        <v>1</v>
      </c>
      <c r="E147" s="37">
        <f>IF(settings!$G$4=0,'Student Enrollment Data'!BA149,'Student Enrollment Data'!CN149)</f>
        <v>0</v>
      </c>
      <c r="F147" s="37">
        <f>IF(settings!$G$4=0,'Student Enrollment Data'!BB149,'Student Enrollment Data'!CO149)</f>
        <v>118</v>
      </c>
      <c r="G147" s="37">
        <f t="shared" si="30"/>
        <v>1</v>
      </c>
      <c r="H147" s="37">
        <f t="shared" si="31"/>
        <v>1</v>
      </c>
      <c r="I147" s="37">
        <f t="shared" si="32"/>
        <v>1</v>
      </c>
      <c r="J147" s="39">
        <f t="shared" si="33"/>
        <v>2.0499999999999998</v>
      </c>
      <c r="K147" s="39">
        <f t="shared" si="34"/>
        <v>1.9075862068965517</v>
      </c>
      <c r="L147" s="39">
        <f t="shared" si="35"/>
        <v>2.0499999999999998</v>
      </c>
      <c r="M147" s="39">
        <f t="shared" si="36"/>
        <v>1.8363793103448276</v>
      </c>
      <c r="N147" s="39">
        <f t="shared" si="37"/>
        <v>0</v>
      </c>
      <c r="O147" s="39">
        <f t="shared" si="38"/>
        <v>225.09517241379311</v>
      </c>
      <c r="P147" s="39">
        <f t="shared" si="39"/>
        <v>225.09517241379311</v>
      </c>
      <c r="Q147" s="39">
        <f t="shared" si="40"/>
        <v>0</v>
      </c>
      <c r="R147" s="39">
        <f t="shared" si="41"/>
        <v>216.69275862068966</v>
      </c>
      <c r="S147" s="40">
        <f t="shared" si="42"/>
        <v>216.69275862068966</v>
      </c>
      <c r="T147">
        <f t="shared" si="43"/>
        <v>118</v>
      </c>
      <c r="U147">
        <f t="shared" si="44"/>
        <v>118</v>
      </c>
      <c r="V147">
        <f>IF(AND(settings!$D$4=0,settings!$D$7=0),'Small Dist Weight'!P147,IF(AND(settings!$D$4=0,settings!$D$7=1),T147,IF(AND(settings!$D$4=1,settings!$D$7=0),S147,U147)))</f>
        <v>216.69275862068966</v>
      </c>
    </row>
    <row r="148" spans="1:22">
      <c r="A148" t="str">
        <f>'Student Enrollment Data'!A150</f>
        <v>486</v>
      </c>
      <c r="B148">
        <f>'Student Enrollment Data'!B150</f>
        <v>486</v>
      </c>
      <c r="C148" t="str">
        <f>'Student Enrollment Data'!C150</f>
        <v>Upper Carmen Charter School #486</v>
      </c>
      <c r="D148">
        <v>1</v>
      </c>
      <c r="E148" s="37">
        <f>IF(settings!$G$4=0,'Student Enrollment Data'!BA150,'Student Enrollment Data'!CN150)</f>
        <v>76.5</v>
      </c>
      <c r="F148" s="37">
        <f>IF(settings!$G$4=0,'Student Enrollment Data'!BB150,'Student Enrollment Data'!CO150)</f>
        <v>18</v>
      </c>
      <c r="G148" s="37">
        <f t="shared" si="30"/>
        <v>1</v>
      </c>
      <c r="H148" s="37">
        <f t="shared" si="31"/>
        <v>1</v>
      </c>
      <c r="I148" s="37">
        <f t="shared" si="32"/>
        <v>1</v>
      </c>
      <c r="J148" s="39">
        <f t="shared" si="33"/>
        <v>1.8065909090909091</v>
      </c>
      <c r="K148" s="39">
        <f t="shared" si="34"/>
        <v>2.0499999999999998</v>
      </c>
      <c r="L148" s="39">
        <f t="shared" si="35"/>
        <v>1.6848863636363636</v>
      </c>
      <c r="M148" s="39">
        <f t="shared" si="36"/>
        <v>2.0499999999999998</v>
      </c>
      <c r="N148" s="39">
        <f t="shared" si="37"/>
        <v>138.20420454545456</v>
      </c>
      <c r="O148" s="39">
        <f t="shared" si="38"/>
        <v>36.9</v>
      </c>
      <c r="P148" s="39">
        <f t="shared" si="39"/>
        <v>175.10420454545456</v>
      </c>
      <c r="Q148" s="39">
        <f t="shared" si="40"/>
        <v>128.89380681818182</v>
      </c>
      <c r="R148" s="39">
        <f t="shared" si="41"/>
        <v>36.9</v>
      </c>
      <c r="S148" s="40">
        <f t="shared" si="42"/>
        <v>165.79380681818182</v>
      </c>
      <c r="T148">
        <f t="shared" si="43"/>
        <v>94.5</v>
      </c>
      <c r="U148">
        <f t="shared" si="44"/>
        <v>94.5</v>
      </c>
      <c r="V148">
        <f>IF(AND(settings!$D$4=0,settings!$D$7=0),'Small Dist Weight'!P148,IF(AND(settings!$D$4=0,settings!$D$7=1),T148,IF(AND(settings!$D$4=1,settings!$D$7=0),S148,U148)))</f>
        <v>165.79380681818182</v>
      </c>
    </row>
    <row r="149" spans="1:22">
      <c r="A149" t="str">
        <f>'Student Enrollment Data'!A151</f>
        <v>487</v>
      </c>
      <c r="B149">
        <f>'Student Enrollment Data'!B151</f>
        <v>487</v>
      </c>
      <c r="C149" t="str">
        <f>'Student Enrollment Data'!C151</f>
        <v>Forrest M. Bird Charter School #487</v>
      </c>
      <c r="D149">
        <v>1</v>
      </c>
      <c r="E149" s="37">
        <f>IF(settings!$G$4=0,'Student Enrollment Data'!BA151,'Student Enrollment Data'!CN151)</f>
        <v>37</v>
      </c>
      <c r="F149" s="37">
        <f>IF(settings!$G$4=0,'Student Enrollment Data'!BB151,'Student Enrollment Data'!CO151)</f>
        <v>281</v>
      </c>
      <c r="G149" s="37">
        <f t="shared" si="30"/>
        <v>1</v>
      </c>
      <c r="H149" s="37">
        <f t="shared" si="31"/>
        <v>1</v>
      </c>
      <c r="I149" s="37">
        <f t="shared" si="32"/>
        <v>1</v>
      </c>
      <c r="J149" s="39">
        <f t="shared" si="33"/>
        <v>1.9322727272727274</v>
      </c>
      <c r="K149" s="39">
        <f t="shared" si="34"/>
        <v>1.7108620689655174</v>
      </c>
      <c r="L149" s="39">
        <f t="shared" si="35"/>
        <v>1.873409090909091</v>
      </c>
      <c r="M149" s="39">
        <f t="shared" si="36"/>
        <v>1.5412931034482757</v>
      </c>
      <c r="N149" s="39">
        <f t="shared" si="37"/>
        <v>71.494090909090914</v>
      </c>
      <c r="O149" s="39">
        <f t="shared" si="38"/>
        <v>480.75224137931036</v>
      </c>
      <c r="P149" s="39">
        <f t="shared" si="39"/>
        <v>552.24633228840128</v>
      </c>
      <c r="Q149" s="39">
        <f t="shared" si="40"/>
        <v>69.316136363636375</v>
      </c>
      <c r="R149" s="39">
        <f t="shared" si="41"/>
        <v>433.10336206896551</v>
      </c>
      <c r="S149" s="40">
        <f t="shared" si="42"/>
        <v>502.41949843260187</v>
      </c>
      <c r="T149">
        <f t="shared" si="43"/>
        <v>318</v>
      </c>
      <c r="U149">
        <f t="shared" si="44"/>
        <v>318</v>
      </c>
      <c r="V149">
        <f>IF(AND(settings!$D$4=0,settings!$D$7=0),'Small Dist Weight'!P149,IF(AND(settings!$D$4=0,settings!$D$7=1),T149,IF(AND(settings!$D$4=1,settings!$D$7=0),S149,U149)))</f>
        <v>502.41949843260187</v>
      </c>
    </row>
    <row r="150" spans="1:22">
      <c r="A150" t="str">
        <f>'Student Enrollment Data'!A152</f>
        <v>488</v>
      </c>
      <c r="B150">
        <f>'Student Enrollment Data'!B152</f>
        <v>488</v>
      </c>
      <c r="C150" t="str">
        <f>'Student Enrollment Data'!C152</f>
        <v>Syringa Mountain School #488</v>
      </c>
      <c r="D150">
        <v>1</v>
      </c>
      <c r="E150" s="37">
        <f>IF(settings!$G$4=0,'Student Enrollment Data'!BA152,'Student Enrollment Data'!CN152)</f>
        <v>96.5</v>
      </c>
      <c r="F150" s="37">
        <f>IF(settings!$G$4=0,'Student Enrollment Data'!BB152,'Student Enrollment Data'!CO152)</f>
        <v>7</v>
      </c>
      <c r="G150" s="37">
        <f t="shared" si="30"/>
        <v>1</v>
      </c>
      <c r="H150" s="37">
        <f t="shared" si="31"/>
        <v>1</v>
      </c>
      <c r="I150" s="37">
        <f t="shared" si="32"/>
        <v>1</v>
      </c>
      <c r="J150" s="39">
        <f t="shared" si="33"/>
        <v>1.7429545454545454</v>
      </c>
      <c r="K150" s="39">
        <f t="shared" si="34"/>
        <v>2.0499999999999998</v>
      </c>
      <c r="L150" s="39">
        <f t="shared" si="35"/>
        <v>1.5894318181818181</v>
      </c>
      <c r="M150" s="39">
        <f t="shared" si="36"/>
        <v>2.0499999999999998</v>
      </c>
      <c r="N150" s="39">
        <f t="shared" si="37"/>
        <v>168.19511363636363</v>
      </c>
      <c r="O150" s="39">
        <f t="shared" si="38"/>
        <v>14.349999999999998</v>
      </c>
      <c r="P150" s="39">
        <f t="shared" si="39"/>
        <v>182.54511363636362</v>
      </c>
      <c r="Q150" s="39">
        <f t="shared" si="40"/>
        <v>153.38017045454544</v>
      </c>
      <c r="R150" s="39">
        <f t="shared" si="41"/>
        <v>14.349999999999998</v>
      </c>
      <c r="S150" s="40">
        <f t="shared" si="42"/>
        <v>167.73017045454543</v>
      </c>
      <c r="T150">
        <f t="shared" si="43"/>
        <v>103.5</v>
      </c>
      <c r="U150">
        <f t="shared" si="44"/>
        <v>103.5</v>
      </c>
      <c r="V150">
        <f>IF(AND(settings!$D$4=0,settings!$D$7=0),'Small Dist Weight'!P150,IF(AND(settings!$D$4=0,settings!$D$7=1),T150,IF(AND(settings!$D$4=1,settings!$D$7=0),S150,U150)))</f>
        <v>167.73017045454543</v>
      </c>
    </row>
    <row r="151" spans="1:22">
      <c r="A151" t="str">
        <f>'Student Enrollment Data'!A153</f>
        <v>489</v>
      </c>
      <c r="B151">
        <f>'Student Enrollment Data'!B153</f>
        <v>489</v>
      </c>
      <c r="C151" t="str">
        <f>'Student Enrollment Data'!C153</f>
        <v>Idaho Technical Career Academy #489</v>
      </c>
      <c r="D151">
        <v>1</v>
      </c>
      <c r="E151" s="37">
        <f>IF(settings!$G$4=0,'Student Enrollment Data'!BA153,'Student Enrollment Data'!CN153)</f>
        <v>0</v>
      </c>
      <c r="F151" s="37">
        <f>IF(settings!$G$4=0,'Student Enrollment Data'!BB153,'Student Enrollment Data'!CO153)</f>
        <v>136</v>
      </c>
      <c r="G151" s="37">
        <f t="shared" si="30"/>
        <v>1</v>
      </c>
      <c r="H151" s="37">
        <f t="shared" si="31"/>
        <v>1</v>
      </c>
      <c r="I151" s="37">
        <f t="shared" si="32"/>
        <v>1</v>
      </c>
      <c r="J151" s="39">
        <f t="shared" si="33"/>
        <v>2.0499999999999998</v>
      </c>
      <c r="K151" s="39">
        <f t="shared" si="34"/>
        <v>1.8858620689655172</v>
      </c>
      <c r="L151" s="39">
        <f t="shared" si="35"/>
        <v>2.0499999999999998</v>
      </c>
      <c r="M151" s="39">
        <f t="shared" si="36"/>
        <v>1.8037931034482759</v>
      </c>
      <c r="N151" s="39">
        <f t="shared" si="37"/>
        <v>0</v>
      </c>
      <c r="O151" s="39">
        <f t="shared" si="38"/>
        <v>256.47724137931033</v>
      </c>
      <c r="P151" s="39">
        <f t="shared" si="39"/>
        <v>256.47724137931033</v>
      </c>
      <c r="Q151" s="39">
        <f t="shared" si="40"/>
        <v>0</v>
      </c>
      <c r="R151" s="39">
        <f t="shared" si="41"/>
        <v>245.31586206896552</v>
      </c>
      <c r="S151" s="40">
        <f t="shared" si="42"/>
        <v>245.31586206896552</v>
      </c>
      <c r="T151">
        <f t="shared" si="43"/>
        <v>136</v>
      </c>
      <c r="U151">
        <f t="shared" si="44"/>
        <v>136</v>
      </c>
      <c r="V151">
        <f>IF(AND(settings!$D$4=0,settings!$D$7=0),'Small Dist Weight'!P151,IF(AND(settings!$D$4=0,settings!$D$7=1),T151,IF(AND(settings!$D$4=1,settings!$D$7=0),S151,U151)))</f>
        <v>245.31586206896552</v>
      </c>
    </row>
    <row r="152" spans="1:22">
      <c r="A152" t="str">
        <f>'Student Enrollment Data'!A154</f>
        <v>490</v>
      </c>
      <c r="B152">
        <f>'Student Enrollment Data'!B154</f>
        <v>490</v>
      </c>
      <c r="C152" t="str">
        <f>'Student Enrollment Data'!C154</f>
        <v>Idaho Distance Education Academy #490</v>
      </c>
      <c r="D152">
        <v>1</v>
      </c>
      <c r="E152" s="37">
        <f>IF(settings!$G$4=0,'Student Enrollment Data'!BA154,'Student Enrollment Data'!CN154)</f>
        <v>119</v>
      </c>
      <c r="F152" s="37">
        <f>IF(settings!$G$4=0,'Student Enrollment Data'!BB154,'Student Enrollment Data'!CO154)</f>
        <v>332</v>
      </c>
      <c r="G152" s="37">
        <f t="shared" si="30"/>
        <v>1</v>
      </c>
      <c r="H152" s="37">
        <f t="shared" si="31"/>
        <v>1</v>
      </c>
      <c r="I152" s="37">
        <f t="shared" si="32"/>
        <v>1</v>
      </c>
      <c r="J152" s="39">
        <f t="shared" si="33"/>
        <v>1.6713636363636364</v>
      </c>
      <c r="K152" s="39">
        <f t="shared" si="34"/>
        <v>1.6493103448275863</v>
      </c>
      <c r="L152" s="39">
        <f t="shared" si="35"/>
        <v>1.4820454545454544</v>
      </c>
      <c r="M152" s="39">
        <f t="shared" si="36"/>
        <v>1.4489655172413793</v>
      </c>
      <c r="N152" s="39">
        <f t="shared" si="37"/>
        <v>198.89227272727274</v>
      </c>
      <c r="O152" s="39">
        <f t="shared" si="38"/>
        <v>547.57103448275871</v>
      </c>
      <c r="P152" s="39">
        <f t="shared" si="39"/>
        <v>746.46330721003142</v>
      </c>
      <c r="Q152" s="39">
        <f t="shared" si="40"/>
        <v>176.36340909090907</v>
      </c>
      <c r="R152" s="39">
        <f t="shared" si="41"/>
        <v>481.05655172413793</v>
      </c>
      <c r="S152" s="40">
        <f t="shared" si="42"/>
        <v>657.41996081504703</v>
      </c>
      <c r="T152">
        <f t="shared" si="43"/>
        <v>451</v>
      </c>
      <c r="U152">
        <f t="shared" si="44"/>
        <v>451</v>
      </c>
      <c r="V152">
        <f>IF(AND(settings!$D$4=0,settings!$D$7=0),'Small Dist Weight'!P152,IF(AND(settings!$D$4=0,settings!$D$7=1),T152,IF(AND(settings!$D$4=1,settings!$D$7=0),S152,U152)))</f>
        <v>657.41996081504703</v>
      </c>
    </row>
    <row r="153" spans="1:22">
      <c r="A153" t="str">
        <f>'Student Enrollment Data'!A155</f>
        <v>491</v>
      </c>
      <c r="B153">
        <f>'Student Enrollment Data'!B155</f>
        <v>491</v>
      </c>
      <c r="C153" t="str">
        <f>'Student Enrollment Data'!C155</f>
        <v>Coeur d' Alene Charter Academy #491</v>
      </c>
      <c r="D153">
        <v>1</v>
      </c>
      <c r="E153" s="37">
        <f>IF(settings!$G$4=0,'Student Enrollment Data'!BA155,'Student Enrollment Data'!CN155)</f>
        <v>141</v>
      </c>
      <c r="F153" s="37">
        <f>IF(settings!$G$4=0,'Student Enrollment Data'!BB155,'Student Enrollment Data'!CO155)</f>
        <v>546</v>
      </c>
      <c r="G153" s="37">
        <f t="shared" si="30"/>
        <v>1</v>
      </c>
      <c r="H153" s="37">
        <f t="shared" si="31"/>
        <v>1</v>
      </c>
      <c r="I153" s="37">
        <f t="shared" si="32"/>
        <v>1</v>
      </c>
      <c r="J153" s="39">
        <f t="shared" si="33"/>
        <v>1.6013636363636363</v>
      </c>
      <c r="K153" s="39">
        <f t="shared" si="34"/>
        <v>1.3910344827586207</v>
      </c>
      <c r="L153" s="39">
        <f t="shared" si="35"/>
        <v>1.3770454545454545</v>
      </c>
      <c r="M153" s="39">
        <f t="shared" si="36"/>
        <v>1.1955172413793105</v>
      </c>
      <c r="N153" s="39">
        <f t="shared" si="37"/>
        <v>225.79227272727272</v>
      </c>
      <c r="O153" s="39">
        <f t="shared" si="38"/>
        <v>759.50482758620694</v>
      </c>
      <c r="P153" s="39">
        <f t="shared" si="39"/>
        <v>985.29710031347963</v>
      </c>
      <c r="Q153" s="39">
        <f t="shared" si="40"/>
        <v>194.16340909090908</v>
      </c>
      <c r="R153" s="39">
        <f t="shared" si="41"/>
        <v>652.75241379310353</v>
      </c>
      <c r="S153" s="40">
        <f t="shared" si="42"/>
        <v>846.91582288401264</v>
      </c>
      <c r="T153">
        <f t="shared" si="43"/>
        <v>687</v>
      </c>
      <c r="U153">
        <f t="shared" si="44"/>
        <v>687</v>
      </c>
      <c r="V153">
        <f>IF(AND(settings!$D$4=0,settings!$D$7=0),'Small Dist Weight'!P153,IF(AND(settings!$D$4=0,settings!$D$7=1),T153,IF(AND(settings!$D$4=1,settings!$D$7=0),S153,U153)))</f>
        <v>846.91582288401264</v>
      </c>
    </row>
    <row r="154" spans="1:22">
      <c r="A154" t="str">
        <f>'Student Enrollment Data'!A156</f>
        <v>492</v>
      </c>
      <c r="B154">
        <f>'Student Enrollment Data'!B156</f>
        <v>492</v>
      </c>
      <c r="C154" t="str">
        <f>'Student Enrollment Data'!C156</f>
        <v>ANSER Charter School #492</v>
      </c>
      <c r="D154">
        <v>1</v>
      </c>
      <c r="E154" s="37">
        <f>IF(settings!$G$4=0,'Student Enrollment Data'!BA156,'Student Enrollment Data'!CN156)</f>
        <v>252</v>
      </c>
      <c r="F154" s="37">
        <f>IF(settings!$G$4=0,'Student Enrollment Data'!BB156,'Student Enrollment Data'!CO156)</f>
        <v>102</v>
      </c>
      <c r="G154" s="37">
        <f t="shared" si="30"/>
        <v>1</v>
      </c>
      <c r="H154" s="37">
        <f t="shared" si="31"/>
        <v>1</v>
      </c>
      <c r="I154" s="37">
        <f t="shared" si="32"/>
        <v>1</v>
      </c>
      <c r="J154" s="39">
        <f t="shared" si="33"/>
        <v>1.2481818181818181</v>
      </c>
      <c r="K154" s="39">
        <f t="shared" si="34"/>
        <v>1.9268965517241381</v>
      </c>
      <c r="L154" s="39">
        <f t="shared" si="35"/>
        <v>1.1240909090909093</v>
      </c>
      <c r="M154" s="39">
        <f t="shared" si="36"/>
        <v>1.865344827586207</v>
      </c>
      <c r="N154" s="39">
        <f t="shared" si="37"/>
        <v>314.54181818181814</v>
      </c>
      <c r="O154" s="39">
        <f t="shared" si="38"/>
        <v>196.54344827586209</v>
      </c>
      <c r="P154" s="39">
        <f t="shared" si="39"/>
        <v>511.08526645768023</v>
      </c>
      <c r="Q154" s="39">
        <f t="shared" si="40"/>
        <v>283.27090909090913</v>
      </c>
      <c r="R154" s="39">
        <f t="shared" si="41"/>
        <v>190.26517241379312</v>
      </c>
      <c r="S154" s="40">
        <f t="shared" si="42"/>
        <v>473.53608150470222</v>
      </c>
      <c r="T154">
        <f t="shared" si="43"/>
        <v>354</v>
      </c>
      <c r="U154">
        <f t="shared" si="44"/>
        <v>354</v>
      </c>
      <c r="V154">
        <f>IF(AND(settings!$D$4=0,settings!$D$7=0),'Small Dist Weight'!P154,IF(AND(settings!$D$4=0,settings!$D$7=1),T154,IF(AND(settings!$D$4=1,settings!$D$7=0),S154,U154)))</f>
        <v>473.53608150470222</v>
      </c>
    </row>
    <row r="155" spans="1:22">
      <c r="A155" t="str">
        <f>'Student Enrollment Data'!A157</f>
        <v>493</v>
      </c>
      <c r="B155">
        <f>'Student Enrollment Data'!B157</f>
        <v>493</v>
      </c>
      <c r="C155" t="str">
        <f>'Student Enrollment Data'!C157</f>
        <v>North Star Charter School #493</v>
      </c>
      <c r="D155">
        <v>1</v>
      </c>
      <c r="E155" s="37">
        <f>IF(settings!$G$4=0,'Student Enrollment Data'!BA157,'Student Enrollment Data'!CN157)</f>
        <v>591</v>
      </c>
      <c r="F155" s="37">
        <f>IF(settings!$G$4=0,'Student Enrollment Data'!BB157,'Student Enrollment Data'!CO157)</f>
        <v>342</v>
      </c>
      <c r="G155" s="37">
        <f t="shared" si="30"/>
        <v>0</v>
      </c>
      <c r="H155" s="37">
        <f t="shared" si="31"/>
        <v>1</v>
      </c>
      <c r="I155" s="37">
        <f t="shared" si="32"/>
        <v>0</v>
      </c>
      <c r="J155" s="39" t="str">
        <f t="shared" si="33"/>
        <v/>
      </c>
      <c r="K155" s="39">
        <f t="shared" si="34"/>
        <v>1.6372413793103449</v>
      </c>
      <c r="L155" s="39">
        <f t="shared" si="35"/>
        <v>0</v>
      </c>
      <c r="M155" s="39">
        <f t="shared" si="36"/>
        <v>1.4308620689655172</v>
      </c>
      <c r="N155" s="39">
        <f t="shared" si="37"/>
        <v>591</v>
      </c>
      <c r="O155" s="39">
        <f t="shared" si="38"/>
        <v>559.93655172413798</v>
      </c>
      <c r="P155" s="39">
        <f t="shared" si="39"/>
        <v>1150.9365517241381</v>
      </c>
      <c r="Q155" s="39">
        <f t="shared" si="40"/>
        <v>591</v>
      </c>
      <c r="R155" s="39">
        <f t="shared" si="41"/>
        <v>489.35482758620685</v>
      </c>
      <c r="S155" s="40">
        <f t="shared" si="42"/>
        <v>1080.3548275862067</v>
      </c>
      <c r="T155">
        <f t="shared" si="43"/>
        <v>933</v>
      </c>
      <c r="U155">
        <f t="shared" si="44"/>
        <v>933</v>
      </c>
      <c r="V155">
        <f>IF(AND(settings!$D$4=0,settings!$D$7=0),'Small Dist Weight'!P155,IF(AND(settings!$D$4=0,settings!$D$7=1),T155,IF(AND(settings!$D$4=1,settings!$D$7=0),S155,U155)))</f>
        <v>1080.3548275862067</v>
      </c>
    </row>
    <row r="156" spans="1:22">
      <c r="A156" t="str">
        <f>'Student Enrollment Data'!A158</f>
        <v>494</v>
      </c>
      <c r="B156">
        <f>'Student Enrollment Data'!B158</f>
        <v>494</v>
      </c>
      <c r="C156" t="str">
        <f>'Student Enrollment Data'!C158</f>
        <v>Pocatello Community Charter School #494</v>
      </c>
      <c r="D156">
        <v>1</v>
      </c>
      <c r="E156" s="37">
        <f>IF(settings!$G$4=0,'Student Enrollment Data'!BA158,'Student Enrollment Data'!CN158)</f>
        <v>244</v>
      </c>
      <c r="F156" s="37">
        <f>IF(settings!$G$4=0,'Student Enrollment Data'!BB158,'Student Enrollment Data'!CO158)</f>
        <v>83</v>
      </c>
      <c r="G156" s="37">
        <f t="shared" si="30"/>
        <v>1</v>
      </c>
      <c r="H156" s="37">
        <f t="shared" si="31"/>
        <v>1</v>
      </c>
      <c r="I156" s="37">
        <f t="shared" si="32"/>
        <v>1</v>
      </c>
      <c r="J156" s="39">
        <f t="shared" si="33"/>
        <v>1.2736363636363637</v>
      </c>
      <c r="K156" s="39">
        <f t="shared" si="34"/>
        <v>1.9498275862068966</v>
      </c>
      <c r="L156" s="39">
        <f t="shared" si="35"/>
        <v>1.1368181818181819</v>
      </c>
      <c r="M156" s="39">
        <f t="shared" si="36"/>
        <v>1.8997413793103448</v>
      </c>
      <c r="N156" s="39">
        <f t="shared" si="37"/>
        <v>310.76727272727271</v>
      </c>
      <c r="O156" s="39">
        <f t="shared" si="38"/>
        <v>161.83568965517242</v>
      </c>
      <c r="P156" s="39">
        <f t="shared" si="39"/>
        <v>472.60296238244513</v>
      </c>
      <c r="Q156" s="39">
        <f t="shared" si="40"/>
        <v>277.38363636363641</v>
      </c>
      <c r="R156" s="39">
        <f t="shared" si="41"/>
        <v>157.67853448275861</v>
      </c>
      <c r="S156" s="40">
        <f t="shared" si="42"/>
        <v>435.06217084639502</v>
      </c>
      <c r="T156">
        <f t="shared" si="43"/>
        <v>327</v>
      </c>
      <c r="U156">
        <f t="shared" si="44"/>
        <v>327</v>
      </c>
      <c r="V156">
        <f>IF(AND(settings!$D$4=0,settings!$D$7=0),'Small Dist Weight'!P156,IF(AND(settings!$D$4=0,settings!$D$7=1),T156,IF(AND(settings!$D$4=1,settings!$D$7=0),S156,U156)))</f>
        <v>435.06217084639502</v>
      </c>
    </row>
    <row r="157" spans="1:22">
      <c r="A157" t="str">
        <f>'Student Enrollment Data'!A159</f>
        <v>495</v>
      </c>
      <c r="B157">
        <f>'Student Enrollment Data'!B159</f>
        <v>495</v>
      </c>
      <c r="C157" t="str">
        <f>'Student Enrollment Data'!C159</f>
        <v>Alturas International Academy #495</v>
      </c>
      <c r="D157">
        <v>1</v>
      </c>
      <c r="E157" s="37">
        <f>IF(settings!$G$4=0,'Student Enrollment Data'!BA159,'Student Enrollment Data'!CN159)</f>
        <v>334</v>
      </c>
      <c r="F157" s="37">
        <f>IF(settings!$G$4=0,'Student Enrollment Data'!BB159,'Student Enrollment Data'!CO159)</f>
        <v>100</v>
      </c>
      <c r="G157" s="37">
        <f t="shared" si="30"/>
        <v>0</v>
      </c>
      <c r="H157" s="37">
        <f t="shared" si="31"/>
        <v>1</v>
      </c>
      <c r="I157" s="37">
        <f t="shared" si="32"/>
        <v>0</v>
      </c>
      <c r="J157" s="39" t="str">
        <f t="shared" si="33"/>
        <v/>
      </c>
      <c r="K157" s="39">
        <f t="shared" si="34"/>
        <v>1.9293103448275861</v>
      </c>
      <c r="L157" s="39">
        <f t="shared" si="35"/>
        <v>0</v>
      </c>
      <c r="M157" s="39">
        <f t="shared" si="36"/>
        <v>1.8689655172413793</v>
      </c>
      <c r="N157" s="39">
        <f t="shared" si="37"/>
        <v>334</v>
      </c>
      <c r="O157" s="39">
        <f t="shared" si="38"/>
        <v>192.93103448275861</v>
      </c>
      <c r="P157" s="39">
        <f t="shared" si="39"/>
        <v>526.93103448275861</v>
      </c>
      <c r="Q157" s="39">
        <f t="shared" si="40"/>
        <v>334</v>
      </c>
      <c r="R157" s="39">
        <f t="shared" si="41"/>
        <v>186.89655172413794</v>
      </c>
      <c r="S157" s="40">
        <f t="shared" si="42"/>
        <v>520.89655172413791</v>
      </c>
      <c r="T157">
        <f t="shared" si="43"/>
        <v>434</v>
      </c>
      <c r="U157">
        <f t="shared" si="44"/>
        <v>434</v>
      </c>
      <c r="V157">
        <f>IF(AND(settings!$D$4=0,settings!$D$7=0),'Small Dist Weight'!P157,IF(AND(settings!$D$4=0,settings!$D$7=1),T157,IF(AND(settings!$D$4=1,settings!$D$7=0),S157,U157)))</f>
        <v>520.89655172413791</v>
      </c>
    </row>
    <row r="158" spans="1:22">
      <c r="A158" t="str">
        <f>'Student Enrollment Data'!A160</f>
        <v>496</v>
      </c>
      <c r="B158">
        <f>'Student Enrollment Data'!B160</f>
        <v>496</v>
      </c>
      <c r="C158" t="str">
        <f>'Student Enrollment Data'!C160</f>
        <v>Gem Prep: Pocatello #496</v>
      </c>
      <c r="D158">
        <v>1</v>
      </c>
      <c r="E158" s="37">
        <f>IF(settings!$G$4=0,'Student Enrollment Data'!BA160,'Student Enrollment Data'!CN160)</f>
        <v>172</v>
      </c>
      <c r="F158" s="37">
        <f>IF(settings!$G$4=0,'Student Enrollment Data'!BB160,'Student Enrollment Data'!CO160)</f>
        <v>0</v>
      </c>
      <c r="G158" s="37">
        <f t="shared" si="30"/>
        <v>1</v>
      </c>
      <c r="H158" s="37">
        <f t="shared" si="31"/>
        <v>1</v>
      </c>
      <c r="I158" s="37">
        <f t="shared" si="32"/>
        <v>1</v>
      </c>
      <c r="J158" s="39">
        <f t="shared" si="33"/>
        <v>1.5027272727272729</v>
      </c>
      <c r="K158" s="39">
        <f t="shared" si="34"/>
        <v>2.0499999999999998</v>
      </c>
      <c r="L158" s="39">
        <f t="shared" si="35"/>
        <v>1.2513636363636365</v>
      </c>
      <c r="M158" s="39">
        <f t="shared" si="36"/>
        <v>2.0499999999999998</v>
      </c>
      <c r="N158" s="39">
        <f t="shared" si="37"/>
        <v>258.46909090909094</v>
      </c>
      <c r="O158" s="39">
        <f t="shared" si="38"/>
        <v>0</v>
      </c>
      <c r="P158" s="39">
        <f t="shared" si="39"/>
        <v>258.46909090909094</v>
      </c>
      <c r="Q158" s="39">
        <f t="shared" si="40"/>
        <v>215.23454545454547</v>
      </c>
      <c r="R158" s="39">
        <f t="shared" si="41"/>
        <v>0</v>
      </c>
      <c r="S158" s="40">
        <f t="shared" si="42"/>
        <v>215.23454545454547</v>
      </c>
      <c r="T158">
        <f t="shared" si="43"/>
        <v>172</v>
      </c>
      <c r="U158">
        <f t="shared" si="44"/>
        <v>172</v>
      </c>
      <c r="V158">
        <f>IF(AND(settings!$D$4=0,settings!$D$7=0),'Small Dist Weight'!P158,IF(AND(settings!$D$4=0,settings!$D$7=1),T158,IF(AND(settings!$D$4=1,settings!$D$7=0),S158,U158)))</f>
        <v>215.23454545454547</v>
      </c>
    </row>
    <row r="159" spans="1:22">
      <c r="A159" t="str">
        <f>'Student Enrollment Data'!A161</f>
        <v>497</v>
      </c>
      <c r="B159">
        <f>'Student Enrollment Data'!B161</f>
        <v>497</v>
      </c>
      <c r="C159" t="str">
        <f>'Student Enrollment Data'!C161</f>
        <v>Pathways in Education - Nampa #497</v>
      </c>
      <c r="D159">
        <v>1</v>
      </c>
      <c r="E159" s="37">
        <f>IF(settings!$G$4=0,'Student Enrollment Data'!BA161,'Student Enrollment Data'!CN161)</f>
        <v>0</v>
      </c>
      <c r="F159" s="37">
        <f>IF(settings!$G$4=0,'Student Enrollment Data'!BB161,'Student Enrollment Data'!CO161)</f>
        <v>285</v>
      </c>
      <c r="G159" s="37">
        <f t="shared" si="30"/>
        <v>1</v>
      </c>
      <c r="H159" s="37">
        <f t="shared" si="31"/>
        <v>1</v>
      </c>
      <c r="I159" s="37">
        <f t="shared" si="32"/>
        <v>1</v>
      </c>
      <c r="J159" s="39">
        <f t="shared" si="33"/>
        <v>2.0499999999999998</v>
      </c>
      <c r="K159" s="39">
        <f t="shared" si="34"/>
        <v>1.7060344827586207</v>
      </c>
      <c r="L159" s="39">
        <f t="shared" si="35"/>
        <v>2.0499999999999998</v>
      </c>
      <c r="M159" s="39">
        <f t="shared" si="36"/>
        <v>1.534051724137931</v>
      </c>
      <c r="N159" s="39">
        <f t="shared" si="37"/>
        <v>0</v>
      </c>
      <c r="O159" s="39">
        <f t="shared" si="38"/>
        <v>486.21982758620692</v>
      </c>
      <c r="P159" s="39">
        <f t="shared" si="39"/>
        <v>486.21982758620692</v>
      </c>
      <c r="Q159" s="39">
        <f t="shared" si="40"/>
        <v>0</v>
      </c>
      <c r="R159" s="39">
        <f t="shared" si="41"/>
        <v>437.20474137931035</v>
      </c>
      <c r="S159" s="40">
        <f t="shared" si="42"/>
        <v>437.20474137931035</v>
      </c>
      <c r="T159">
        <f t="shared" si="43"/>
        <v>285</v>
      </c>
      <c r="U159">
        <f t="shared" si="44"/>
        <v>285</v>
      </c>
      <c r="V159">
        <f>IF(AND(settings!$D$4=0,settings!$D$7=0),'Small Dist Weight'!P159,IF(AND(settings!$D$4=0,settings!$D$7=1),T159,IF(AND(settings!$D$4=1,settings!$D$7=0),S159,U159)))</f>
        <v>437.20474137931035</v>
      </c>
    </row>
    <row r="160" spans="1:22">
      <c r="A160">
        <v>498</v>
      </c>
      <c r="B160">
        <v>498</v>
      </c>
      <c r="C160" t="s">
        <v>631</v>
      </c>
      <c r="D160">
        <v>1</v>
      </c>
      <c r="E160" s="37">
        <f>IF(settings!$G$4=0,'Student Enrollment Data'!BA162,'Student Enrollment Data'!CN162)</f>
        <v>245</v>
      </c>
      <c r="F160" s="37">
        <f>IF(settings!$G$4=0,'Student Enrollment Data'!BB162,'Student Enrollment Data'!CO162)</f>
        <v>0</v>
      </c>
      <c r="G160" s="37">
        <f t="shared" ref="G160:G164" si="45">IF(E160&lt;$X$5,1,0)</f>
        <v>1</v>
      </c>
      <c r="H160" s="37">
        <f t="shared" ref="H160:H164" si="46">IF(F160&lt;$X$6,1,0)</f>
        <v>1</v>
      </c>
      <c r="I160" s="37">
        <f t="shared" ref="I160:I164" si="47">IF(SUM(G160:H160)=2,1,0)</f>
        <v>1</v>
      </c>
      <c r="J160" s="39">
        <f t="shared" ref="J160:J164" si="48">IF(E160&lt;=$AA$5,1+$Y$5,IF(G160=1,1+($Y$5-(E160*($Y$5/$X$5))),""))</f>
        <v>1.2704545454545455</v>
      </c>
      <c r="K160" s="39">
        <f t="shared" ref="K160:K164" si="49">IF(F160&lt;=$AA$6,1+$Y$6,IF(H160=1,1+($Y$6-(F160*($Y$6/$X$6))),""))</f>
        <v>2.0499999999999998</v>
      </c>
      <c r="L160" s="39">
        <f t="shared" ref="L160:L164" si="50">IF(E160&lt;=$AA$5,1+$Y$10,IF(AND(E160&gt;=$Z$10,E160&lt;$X$10),1-$AA$10+($AA$11-(E160*$AB$10)),IF(AND(E160&lt;$Z$11,E160&lt;$X$11),1+$AA$10+($AA$11-(E160*$AB$11)),0)))</f>
        <v>1.1352272727272728</v>
      </c>
      <c r="M160" s="39">
        <f t="shared" ref="M160:M164" si="51">IF(F160&lt;+$AA$6,1+$Y$12,IF(AND(F160&gt;=$Z$12,F160&lt;$X$12),1-$AA$12+($AA$13-(F160*$AB$12)),IF(AND(F160&lt;$Z$13,F160&lt;$X$13),1+$AA$12+($AA$13-(F160*$AB$13)),0)))</f>
        <v>2.0499999999999998</v>
      </c>
      <c r="N160" s="39">
        <f t="shared" ref="N160:N164" si="52">IF(G160=1,J160*E160,E160)</f>
        <v>311.26136363636363</v>
      </c>
      <c r="O160" s="39">
        <f t="shared" ref="O160:O164" si="53">IF(H160=1,K160*F160,F160)</f>
        <v>0</v>
      </c>
      <c r="P160" s="39">
        <f t="shared" ref="P160:P164" si="54">SUM(N160:O160)</f>
        <v>311.26136363636363</v>
      </c>
      <c r="Q160" s="39">
        <f t="shared" ref="Q160:Q164" si="55">IF(G160=1,E160*L160,E160)</f>
        <v>278.13068181818181</v>
      </c>
      <c r="R160" s="39">
        <f t="shared" ref="R160:R164" si="56">IF(H160=1,F160*M160,F160)</f>
        <v>0</v>
      </c>
      <c r="S160" s="40">
        <f t="shared" ref="S160:S164" si="57">SUM(Q160:R160)</f>
        <v>278.13068181818181</v>
      </c>
      <c r="T160">
        <f t="shared" ref="T160:T164" si="58">IF(D160=0,P160,E160+F160)</f>
        <v>245</v>
      </c>
      <c r="U160">
        <f t="shared" ref="U160:U164" si="59">IF(D160=0,S160,E160+F160)</f>
        <v>245</v>
      </c>
      <c r="V160">
        <f>IF(AND(settings!$D$4=0,settings!$D$7=0),'Small Dist Weight'!P160,IF(AND(settings!$D$4=0,settings!$D$7=1),T160,IF(AND(settings!$D$4=1,settings!$D$7=0),S160,U160)))</f>
        <v>278.13068181818181</v>
      </c>
    </row>
    <row r="161" spans="1:22">
      <c r="A161">
        <v>499</v>
      </c>
      <c r="B161">
        <v>499</v>
      </c>
      <c r="C161" t="s">
        <v>632</v>
      </c>
      <c r="D161">
        <v>1</v>
      </c>
      <c r="E161" s="37">
        <f>IF(settings!$G$4=0,'Student Enrollment Data'!BA163,'Student Enrollment Data'!CN163)</f>
        <v>197</v>
      </c>
      <c r="F161" s="37">
        <f>IF(settings!$G$4=0,'Student Enrollment Data'!BB163,'Student Enrollment Data'!CO163)</f>
        <v>0</v>
      </c>
      <c r="G161" s="37">
        <f t="shared" si="45"/>
        <v>1</v>
      </c>
      <c r="H161" s="37">
        <f t="shared" si="46"/>
        <v>1</v>
      </c>
      <c r="I161" s="37">
        <f t="shared" si="47"/>
        <v>1</v>
      </c>
      <c r="J161" s="39">
        <f t="shared" si="48"/>
        <v>1.4231818181818183</v>
      </c>
      <c r="K161" s="39">
        <f t="shared" si="49"/>
        <v>2.0499999999999998</v>
      </c>
      <c r="L161" s="39">
        <f t="shared" si="50"/>
        <v>1.2115909090909092</v>
      </c>
      <c r="M161" s="39">
        <f t="shared" si="51"/>
        <v>2.0499999999999998</v>
      </c>
      <c r="N161" s="39">
        <f t="shared" si="52"/>
        <v>280.36681818181819</v>
      </c>
      <c r="O161" s="39">
        <f t="shared" si="53"/>
        <v>0</v>
      </c>
      <c r="P161" s="39">
        <f t="shared" si="54"/>
        <v>280.36681818181819</v>
      </c>
      <c r="Q161" s="39">
        <f t="shared" si="55"/>
        <v>238.68340909090909</v>
      </c>
      <c r="R161" s="39">
        <f t="shared" si="56"/>
        <v>0</v>
      </c>
      <c r="S161" s="40">
        <f t="shared" si="57"/>
        <v>238.68340909090909</v>
      </c>
      <c r="T161">
        <f t="shared" si="58"/>
        <v>197</v>
      </c>
      <c r="U161">
        <f t="shared" si="59"/>
        <v>197</v>
      </c>
      <c r="V161">
        <f>IF(AND(settings!$D$4=0,settings!$D$7=0),'Small Dist Weight'!P161,IF(AND(settings!$D$4=0,settings!$D$7=1),T161,IF(AND(settings!$D$4=1,settings!$D$7=0),S161,U161)))</f>
        <v>238.68340909090909</v>
      </c>
    </row>
    <row r="162" spans="1:22">
      <c r="A162">
        <v>511</v>
      </c>
      <c r="B162">
        <v>511</v>
      </c>
      <c r="C162" t="s">
        <v>633</v>
      </c>
      <c r="D162">
        <v>1</v>
      </c>
      <c r="E162" s="37">
        <f>IF(settings!$G$4=0,'Student Enrollment Data'!BA164,'Student Enrollment Data'!CN164)</f>
        <v>248.5</v>
      </c>
      <c r="F162" s="37">
        <f>IF(settings!$G$4=0,'Student Enrollment Data'!BB164,'Student Enrollment Data'!CO164)</f>
        <v>0</v>
      </c>
      <c r="G162" s="37">
        <f t="shared" si="45"/>
        <v>1</v>
      </c>
      <c r="H162" s="37">
        <f t="shared" si="46"/>
        <v>1</v>
      </c>
      <c r="I162" s="37">
        <f t="shared" si="47"/>
        <v>1</v>
      </c>
      <c r="J162" s="39">
        <f t="shared" si="48"/>
        <v>1.2593181818181818</v>
      </c>
      <c r="K162" s="39">
        <f t="shared" si="49"/>
        <v>2.0499999999999998</v>
      </c>
      <c r="L162" s="39">
        <f t="shared" si="50"/>
        <v>1.1296590909090911</v>
      </c>
      <c r="M162" s="39">
        <f t="shared" si="51"/>
        <v>2.0499999999999998</v>
      </c>
      <c r="N162" s="39">
        <f t="shared" si="52"/>
        <v>312.94056818181815</v>
      </c>
      <c r="O162" s="39">
        <f t="shared" si="53"/>
        <v>0</v>
      </c>
      <c r="P162" s="39">
        <f t="shared" si="54"/>
        <v>312.94056818181815</v>
      </c>
      <c r="Q162" s="39">
        <f t="shared" si="55"/>
        <v>280.72028409090916</v>
      </c>
      <c r="R162" s="39">
        <f t="shared" si="56"/>
        <v>0</v>
      </c>
      <c r="S162" s="40">
        <f t="shared" si="57"/>
        <v>280.72028409090916</v>
      </c>
      <c r="T162">
        <f t="shared" si="58"/>
        <v>248.5</v>
      </c>
      <c r="U162">
        <f t="shared" si="59"/>
        <v>248.5</v>
      </c>
      <c r="V162">
        <f>IF(AND(settings!$D$4=0,settings!$D$7=0),'Small Dist Weight'!P162,IF(AND(settings!$D$4=0,settings!$D$7=1),T162,IF(AND(settings!$D$4=1,settings!$D$7=0),S162,U162)))</f>
        <v>280.72028409090916</v>
      </c>
    </row>
    <row r="163" spans="1:22">
      <c r="A163">
        <v>513</v>
      </c>
      <c r="B163">
        <v>513</v>
      </c>
      <c r="C163" t="s">
        <v>634</v>
      </c>
      <c r="D163">
        <v>1</v>
      </c>
      <c r="E163" s="37">
        <f>IF(settings!$G$4=0,'Student Enrollment Data'!BA165,'Student Enrollment Data'!CN165)</f>
        <v>190.5</v>
      </c>
      <c r="F163" s="37">
        <f>IF(settings!$G$4=0,'Student Enrollment Data'!BB165,'Student Enrollment Data'!CO165)</f>
        <v>51</v>
      </c>
      <c r="G163" s="37">
        <f t="shared" si="45"/>
        <v>1</v>
      </c>
      <c r="H163" s="37">
        <f t="shared" si="46"/>
        <v>1</v>
      </c>
      <c r="I163" s="37">
        <f t="shared" si="47"/>
        <v>1</v>
      </c>
      <c r="J163" s="39">
        <f t="shared" si="48"/>
        <v>1.4438636363636363</v>
      </c>
      <c r="K163" s="39">
        <f t="shared" si="49"/>
        <v>1.988448275862069</v>
      </c>
      <c r="L163" s="39">
        <f t="shared" si="50"/>
        <v>1.2219318181818184</v>
      </c>
      <c r="M163" s="39">
        <f t="shared" si="51"/>
        <v>1.9576724137931034</v>
      </c>
      <c r="N163" s="39">
        <f t="shared" si="52"/>
        <v>275.0560227272727</v>
      </c>
      <c r="O163" s="39">
        <f t="shared" si="53"/>
        <v>101.41086206896551</v>
      </c>
      <c r="P163" s="39">
        <f t="shared" si="54"/>
        <v>376.46688479623822</v>
      </c>
      <c r="Q163" s="39">
        <f t="shared" si="55"/>
        <v>232.77801136363641</v>
      </c>
      <c r="R163" s="39">
        <f t="shared" si="56"/>
        <v>99.84129310344828</v>
      </c>
      <c r="S163" s="40">
        <f t="shared" si="57"/>
        <v>332.6193044670847</v>
      </c>
      <c r="T163">
        <f t="shared" si="58"/>
        <v>241.5</v>
      </c>
      <c r="U163">
        <f t="shared" si="59"/>
        <v>241.5</v>
      </c>
      <c r="V163">
        <f>IF(AND(settings!$D$4=0,settings!$D$7=0),'Small Dist Weight'!P163,IF(AND(settings!$D$4=0,settings!$D$7=1),T163,IF(AND(settings!$D$4=1,settings!$D$7=0),S163,U163)))</f>
        <v>332.6193044670847</v>
      </c>
    </row>
    <row r="164" spans="1:22">
      <c r="A164">
        <v>518</v>
      </c>
      <c r="B164">
        <v>518</v>
      </c>
      <c r="C164" t="s">
        <v>635</v>
      </c>
      <c r="D164">
        <v>1</v>
      </c>
      <c r="E164" s="37">
        <f>IF(settings!$G$4=0,'Student Enrollment Data'!BA166,'Student Enrollment Data'!CN166)</f>
        <v>0</v>
      </c>
      <c r="F164" s="37">
        <f>IF(settings!$G$4=0,'Student Enrollment Data'!BB166,'Student Enrollment Data'!CO166)</f>
        <v>202</v>
      </c>
      <c r="G164" s="37">
        <f t="shared" si="45"/>
        <v>1</v>
      </c>
      <c r="H164" s="37">
        <f t="shared" si="46"/>
        <v>1</v>
      </c>
      <c r="I164" s="37">
        <f t="shared" si="47"/>
        <v>1</v>
      </c>
      <c r="J164" s="39">
        <f t="shared" si="48"/>
        <v>2.0499999999999998</v>
      </c>
      <c r="K164" s="39">
        <f t="shared" si="49"/>
        <v>1.8062068965517242</v>
      </c>
      <c r="L164" s="39">
        <f t="shared" si="50"/>
        <v>2.0499999999999998</v>
      </c>
      <c r="M164" s="39">
        <f t="shared" si="51"/>
        <v>1.6843103448275862</v>
      </c>
      <c r="N164" s="39">
        <f t="shared" si="52"/>
        <v>0</v>
      </c>
      <c r="O164" s="39">
        <f t="shared" si="53"/>
        <v>364.85379310344831</v>
      </c>
      <c r="P164" s="39">
        <f t="shared" si="54"/>
        <v>364.85379310344831</v>
      </c>
      <c r="Q164" s="39">
        <f t="shared" si="55"/>
        <v>0</v>
      </c>
      <c r="R164" s="39">
        <f t="shared" si="56"/>
        <v>340.2306896551724</v>
      </c>
      <c r="S164" s="40">
        <f t="shared" si="57"/>
        <v>340.2306896551724</v>
      </c>
      <c r="T164">
        <f t="shared" si="58"/>
        <v>202</v>
      </c>
      <c r="U164">
        <f t="shared" si="59"/>
        <v>202</v>
      </c>
      <c r="V164">
        <f>IF(AND(settings!$D$4=0,settings!$D$7=0),'Small Dist Weight'!P164,IF(AND(settings!$D$4=0,settings!$D$7=1),T164,IF(AND(settings!$D$4=1,settings!$D$7=0),S164,U164)))</f>
        <v>340.2306896551724</v>
      </c>
    </row>
    <row r="165" spans="1:22">
      <c r="A165" t="str">
        <f>'Student Enrollment Data'!A167</f>
        <v>555</v>
      </c>
      <c r="B165">
        <f>'Student Enrollment Data'!B167</f>
        <v>555</v>
      </c>
      <c r="C165" t="str">
        <f>'Student Enrollment Data'!C167</f>
        <v>COSSA Academy #555</v>
      </c>
      <c r="D165">
        <v>1</v>
      </c>
      <c r="E165" s="37">
        <f>IF(settings!$G$4=0,'Student Enrollment Data'!BA167,'Student Enrollment Data'!CN167)</f>
        <v>0</v>
      </c>
      <c r="F165" s="37">
        <f>IF(settings!$G$4=0,'Student Enrollment Data'!BB167,'Student Enrollment Data'!CO167)</f>
        <v>127</v>
      </c>
      <c r="G165" s="37">
        <f t="shared" ref="G165:G174" si="60">IF(E165&lt;$X$5,1,0)</f>
        <v>1</v>
      </c>
      <c r="H165" s="37">
        <f t="shared" ref="H165:H174" si="61">IF(F165&lt;$X$6,1,0)</f>
        <v>1</v>
      </c>
      <c r="I165" s="37">
        <f t="shared" ref="I165:I174" si="62">IF(SUM(G165:H165)=2,1,0)</f>
        <v>1</v>
      </c>
      <c r="J165" s="39">
        <f t="shared" ref="J165:J174" si="63">IF(E165&lt;=$AA$5,1+$Y$5,IF(G165=1,1+($Y$5-(E165*($Y$5/$X$5))),""))</f>
        <v>2.0499999999999998</v>
      </c>
      <c r="K165" s="39">
        <f t="shared" ref="K165:K174" si="64">IF(F165&lt;=$AA$6,1+$Y$6,IF(H165=1,1+($Y$6-(F165*($Y$6/$X$6))),""))</f>
        <v>1.8967241379310344</v>
      </c>
      <c r="L165" s="39">
        <f t="shared" ref="L165:L174" si="65">IF(E165&lt;=$AA$5,1+$Y$10,IF(AND(E165&gt;=$Z$10,E165&lt;$X$10),1-$AA$10+($AA$11-(E165*$AB$10)),IF(AND(E165&lt;$Z$11,E165&lt;$X$11),1+$AA$10+($AA$11-(E165*$AB$11)),0)))</f>
        <v>2.0499999999999998</v>
      </c>
      <c r="M165" s="39">
        <f t="shared" ref="M165:M174" si="66">IF(F165&lt;+$AA$6,1+$Y$12,IF(AND(F165&gt;=$Z$12,F165&lt;$X$12),1-$AA$12+($AA$13-(F165*$AB$12)),IF(AND(F165&lt;$Z$13,F165&lt;$X$13),1+$AA$12+($AA$13-(F165*$AB$13)),0)))</f>
        <v>1.8200862068965518</v>
      </c>
      <c r="N165" s="39">
        <f t="shared" ref="N165:N174" si="67">IF(G165=1,J165*E165,E165)</f>
        <v>0</v>
      </c>
      <c r="O165" s="39">
        <f t="shared" ref="O165:O174" si="68">IF(H165=1,K165*F165,F165)</f>
        <v>240.88396551724136</v>
      </c>
      <c r="P165" s="39">
        <f t="shared" ref="P165:P174" si="69">SUM(N165:O165)</f>
        <v>240.88396551724136</v>
      </c>
      <c r="Q165" s="39">
        <f t="shared" ref="Q165:Q174" si="70">IF(G165=1,E165*L165,E165)</f>
        <v>0</v>
      </c>
      <c r="R165" s="39">
        <f t="shared" ref="R165:R174" si="71">IF(H165=1,F165*M165,F165)</f>
        <v>231.15094827586208</v>
      </c>
      <c r="S165" s="40">
        <f t="shared" ref="S165:S174" si="72">SUM(Q165:R165)</f>
        <v>231.15094827586208</v>
      </c>
      <c r="T165">
        <f t="shared" ref="T165:T174" si="73">IF(D165=0,P165,E165+F165)</f>
        <v>127</v>
      </c>
      <c r="U165">
        <f t="shared" ref="U165:U174" si="74">IF(D165=0,S165,E165+F165)</f>
        <v>127</v>
      </c>
      <c r="V165">
        <f>IF(AND(settings!$D$4=0,settings!$D$7=0),'Small Dist Weight'!P165,IF(AND(settings!$D$4=0,settings!$D$7=1),T165,IF(AND(settings!$D$4=1,settings!$D$7=0),S165,U165)))</f>
        <v>231.15094827586208</v>
      </c>
    </row>
    <row r="166" spans="1:22">
      <c r="A166" t="str">
        <f>'Student Enrollment Data'!A168</f>
        <v>559</v>
      </c>
      <c r="B166">
        <f>'Student Enrollment Data'!B168</f>
        <v>559</v>
      </c>
      <c r="C166" t="str">
        <f>'Student Enrollment Data'!C168</f>
        <v>Thomas Jefferson Charter School #559</v>
      </c>
      <c r="D166">
        <v>1</v>
      </c>
      <c r="E166" s="37">
        <f>IF(settings!$G$4=0,'Student Enrollment Data'!BA168,'Student Enrollment Data'!CN168)</f>
        <v>193</v>
      </c>
      <c r="F166" s="37">
        <f>IF(settings!$G$4=0,'Student Enrollment Data'!BB168,'Student Enrollment Data'!CO168)</f>
        <v>177</v>
      </c>
      <c r="G166" s="37">
        <f t="shared" si="60"/>
        <v>1</v>
      </c>
      <c r="H166" s="37">
        <f t="shared" si="61"/>
        <v>1</v>
      </c>
      <c r="I166" s="37">
        <f t="shared" si="62"/>
        <v>1</v>
      </c>
      <c r="J166" s="39">
        <f t="shared" si="63"/>
        <v>1.435909090909091</v>
      </c>
      <c r="K166" s="39">
        <f t="shared" si="64"/>
        <v>1.8363793103448276</v>
      </c>
      <c r="L166" s="39">
        <f t="shared" si="65"/>
        <v>1.2179545454545455</v>
      </c>
      <c r="M166" s="39">
        <f t="shared" si="66"/>
        <v>1.7295689655172415</v>
      </c>
      <c r="N166" s="39">
        <f t="shared" si="67"/>
        <v>277.13045454545454</v>
      </c>
      <c r="O166" s="39">
        <f t="shared" si="68"/>
        <v>325.03913793103447</v>
      </c>
      <c r="P166" s="39">
        <f t="shared" si="69"/>
        <v>602.16959247648902</v>
      </c>
      <c r="Q166" s="39">
        <f t="shared" si="70"/>
        <v>235.06522727272727</v>
      </c>
      <c r="R166" s="39">
        <f t="shared" si="71"/>
        <v>306.13370689655176</v>
      </c>
      <c r="S166" s="40">
        <f t="shared" si="72"/>
        <v>541.19893416927903</v>
      </c>
      <c r="T166">
        <f t="shared" si="73"/>
        <v>370</v>
      </c>
      <c r="U166">
        <f t="shared" si="74"/>
        <v>370</v>
      </c>
      <c r="V166">
        <f>IF(AND(settings!$D$4=0,settings!$D$7=0),'Small Dist Weight'!P166,IF(AND(settings!$D$4=0,settings!$D$7=1),T166,IF(AND(settings!$D$4=1,settings!$D$7=0),S166,U166)))</f>
        <v>541.19893416927903</v>
      </c>
    </row>
    <row r="167" spans="1:22">
      <c r="A167" t="str">
        <f>'Student Enrollment Data'!A169</f>
        <v>751</v>
      </c>
      <c r="B167">
        <f>'Student Enrollment Data'!B169</f>
        <v>751</v>
      </c>
      <c r="C167" t="str">
        <f>'Student Enrollment Data'!C169</f>
        <v>SEI Tec #751</v>
      </c>
      <c r="D167">
        <v>1</v>
      </c>
      <c r="E167" s="37">
        <f>IF(settings!$G$4=0,'Student Enrollment Data'!BA169,'Student Enrollment Data'!CN169)</f>
        <v>0</v>
      </c>
      <c r="F167" s="37">
        <f>IF(settings!$G$4=0,'Student Enrollment Data'!BB169,'Student Enrollment Data'!CO169)</f>
        <v>199</v>
      </c>
      <c r="G167" s="37">
        <f t="shared" si="60"/>
        <v>1</v>
      </c>
      <c r="H167" s="37">
        <f t="shared" si="61"/>
        <v>1</v>
      </c>
      <c r="I167" s="37">
        <f t="shared" si="62"/>
        <v>1</v>
      </c>
      <c r="J167" s="39">
        <f t="shared" si="63"/>
        <v>2.0499999999999998</v>
      </c>
      <c r="K167" s="39">
        <f t="shared" si="64"/>
        <v>1.8098275862068967</v>
      </c>
      <c r="L167" s="39">
        <f t="shared" si="65"/>
        <v>2.0499999999999998</v>
      </c>
      <c r="M167" s="39">
        <f t="shared" si="66"/>
        <v>1.6897413793103448</v>
      </c>
      <c r="N167" s="39">
        <f t="shared" si="67"/>
        <v>0</v>
      </c>
      <c r="O167" s="39">
        <f t="shared" si="68"/>
        <v>360.15568965517241</v>
      </c>
      <c r="P167" s="39">
        <f t="shared" si="69"/>
        <v>360.15568965517241</v>
      </c>
      <c r="Q167" s="39">
        <f t="shared" si="70"/>
        <v>0</v>
      </c>
      <c r="R167" s="39">
        <f t="shared" si="71"/>
        <v>336.25853448275865</v>
      </c>
      <c r="S167" s="40">
        <f t="shared" si="72"/>
        <v>336.25853448275865</v>
      </c>
      <c r="T167">
        <f t="shared" si="73"/>
        <v>199</v>
      </c>
      <c r="U167">
        <f t="shared" si="74"/>
        <v>199</v>
      </c>
      <c r="V167">
        <f>IF(AND(settings!$D$4=0,settings!$D$7=0),'Small Dist Weight'!P167,IF(AND(settings!$D$4=0,settings!$D$7=1),T167,IF(AND(settings!$D$4=1,settings!$D$7=0),S167,U167)))</f>
        <v>336.25853448275865</v>
      </c>
    </row>
    <row r="168" spans="1:22">
      <c r="A168" t="str">
        <f>'Student Enrollment Data'!A170</f>
        <v>768</v>
      </c>
      <c r="B168">
        <f>'Student Enrollment Data'!B170</f>
        <v>768</v>
      </c>
      <c r="C168" t="str">
        <f>'Student Enrollment Data'!C170</f>
        <v>Meridian Technical Charter High School #768</v>
      </c>
      <c r="D168">
        <v>1</v>
      </c>
      <c r="E168" s="37">
        <f>IF(settings!$G$4=0,'Student Enrollment Data'!BA170,'Student Enrollment Data'!CN170)</f>
        <v>0</v>
      </c>
      <c r="F168" s="37">
        <f>IF(settings!$G$4=0,'Student Enrollment Data'!BB170,'Student Enrollment Data'!CO170)</f>
        <v>200</v>
      </c>
      <c r="G168" s="37">
        <f t="shared" si="60"/>
        <v>1</v>
      </c>
      <c r="H168" s="37">
        <f t="shared" si="61"/>
        <v>1</v>
      </c>
      <c r="I168" s="37">
        <f t="shared" si="62"/>
        <v>1</v>
      </c>
      <c r="J168" s="39">
        <f t="shared" si="63"/>
        <v>2.0499999999999998</v>
      </c>
      <c r="K168" s="39">
        <f t="shared" si="64"/>
        <v>1.8086206896551724</v>
      </c>
      <c r="L168" s="39">
        <f t="shared" si="65"/>
        <v>2.0499999999999998</v>
      </c>
      <c r="M168" s="39">
        <f t="shared" si="66"/>
        <v>1.6879310344827587</v>
      </c>
      <c r="N168" s="39">
        <f t="shared" si="67"/>
        <v>0</v>
      </c>
      <c r="O168" s="39">
        <f t="shared" si="68"/>
        <v>361.72413793103448</v>
      </c>
      <c r="P168" s="39">
        <f t="shared" si="69"/>
        <v>361.72413793103448</v>
      </c>
      <c r="Q168" s="39">
        <f t="shared" si="70"/>
        <v>0</v>
      </c>
      <c r="R168" s="39">
        <f t="shared" si="71"/>
        <v>337.58620689655174</v>
      </c>
      <c r="S168" s="40">
        <f t="shared" si="72"/>
        <v>337.58620689655174</v>
      </c>
      <c r="T168">
        <f t="shared" si="73"/>
        <v>200</v>
      </c>
      <c r="U168">
        <f t="shared" si="74"/>
        <v>200</v>
      </c>
      <c r="V168">
        <f>IF(AND(settings!$D$4=0,settings!$D$7=0),'Small Dist Weight'!P168,IF(AND(settings!$D$4=0,settings!$D$7=1),T168,IF(AND(settings!$D$4=1,settings!$D$7=0),S168,U168)))</f>
        <v>337.58620689655174</v>
      </c>
    </row>
    <row r="169" spans="1:22">
      <c r="A169" t="str">
        <f>'Student Enrollment Data'!A171</f>
        <v>785</v>
      </c>
      <c r="B169">
        <f>'Student Enrollment Data'!B171</f>
        <v>785</v>
      </c>
      <c r="C169" t="str">
        <f>'Student Enrollment Data'!C171</f>
        <v>Meridian Medical Arts Charter High School #785</v>
      </c>
      <c r="D169">
        <v>1</v>
      </c>
      <c r="E169" s="37">
        <f>IF(settings!$G$4=0,'Student Enrollment Data'!BA171,'Student Enrollment Data'!CN171)</f>
        <v>0</v>
      </c>
      <c r="F169" s="37">
        <f>IF(settings!$G$4=0,'Student Enrollment Data'!BB171,'Student Enrollment Data'!CO171)</f>
        <v>194</v>
      </c>
      <c r="G169" s="37">
        <f t="shared" si="60"/>
        <v>1</v>
      </c>
      <c r="H169" s="37">
        <f t="shared" si="61"/>
        <v>1</v>
      </c>
      <c r="I169" s="37">
        <f t="shared" si="62"/>
        <v>1</v>
      </c>
      <c r="J169" s="39">
        <f t="shared" si="63"/>
        <v>2.0499999999999998</v>
      </c>
      <c r="K169" s="39">
        <f t="shared" si="64"/>
        <v>1.8158620689655174</v>
      </c>
      <c r="L169" s="39">
        <f t="shared" si="65"/>
        <v>2.0499999999999998</v>
      </c>
      <c r="M169" s="39">
        <f t="shared" si="66"/>
        <v>1.6987931034482759</v>
      </c>
      <c r="N169" s="39">
        <f t="shared" si="67"/>
        <v>0</v>
      </c>
      <c r="O169" s="39">
        <f t="shared" si="68"/>
        <v>352.2772413793104</v>
      </c>
      <c r="P169" s="39">
        <f t="shared" si="69"/>
        <v>352.2772413793104</v>
      </c>
      <c r="Q169" s="39">
        <f t="shared" si="70"/>
        <v>0</v>
      </c>
      <c r="R169" s="39">
        <f t="shared" si="71"/>
        <v>329.56586206896554</v>
      </c>
      <c r="S169" s="40">
        <f t="shared" si="72"/>
        <v>329.56586206896554</v>
      </c>
      <c r="T169">
        <f t="shared" si="73"/>
        <v>194</v>
      </c>
      <c r="U169">
        <f t="shared" si="74"/>
        <v>194</v>
      </c>
      <c r="V169">
        <f>IF(AND(settings!$D$4=0,settings!$D$7=0),'Small Dist Weight'!P169,IF(AND(settings!$D$4=0,settings!$D$7=1),T169,IF(AND(settings!$D$4=1,settings!$D$7=0),S169,U169)))</f>
        <v>329.56586206896554</v>
      </c>
    </row>
    <row r="170" spans="1:22">
      <c r="A170" t="str">
        <f>'Student Enrollment Data'!A172</f>
        <v>790</v>
      </c>
      <c r="B170">
        <f>'Student Enrollment Data'!B172</f>
        <v>790</v>
      </c>
      <c r="C170" t="str">
        <f>'Student Enrollment Data'!C172</f>
        <v>ARTEC Charter School #790</v>
      </c>
      <c r="D170">
        <v>1</v>
      </c>
      <c r="E170" s="37">
        <f>IF(settings!$G$4=0,'Student Enrollment Data'!BA172,'Student Enrollment Data'!CN172)</f>
        <v>0</v>
      </c>
      <c r="F170" s="37">
        <f>IF(settings!$G$4=0,'Student Enrollment Data'!BB172,'Student Enrollment Data'!CO172)</f>
        <v>200</v>
      </c>
      <c r="G170" s="37">
        <f t="shared" si="60"/>
        <v>1</v>
      </c>
      <c r="H170" s="37">
        <f t="shared" si="61"/>
        <v>1</v>
      </c>
      <c r="I170" s="37">
        <f t="shared" si="62"/>
        <v>1</v>
      </c>
      <c r="J170" s="39">
        <f t="shared" si="63"/>
        <v>2.0499999999999998</v>
      </c>
      <c r="K170" s="39">
        <f t="shared" si="64"/>
        <v>1.8086206896551724</v>
      </c>
      <c r="L170" s="39">
        <f t="shared" si="65"/>
        <v>2.0499999999999998</v>
      </c>
      <c r="M170" s="39">
        <f t="shared" si="66"/>
        <v>1.6879310344827587</v>
      </c>
      <c r="N170" s="39">
        <f t="shared" si="67"/>
        <v>0</v>
      </c>
      <c r="O170" s="39">
        <f t="shared" si="68"/>
        <v>361.72413793103448</v>
      </c>
      <c r="P170" s="39">
        <f t="shared" si="69"/>
        <v>361.72413793103448</v>
      </c>
      <c r="Q170" s="39">
        <f t="shared" si="70"/>
        <v>0</v>
      </c>
      <c r="R170" s="39">
        <f t="shared" si="71"/>
        <v>337.58620689655174</v>
      </c>
      <c r="S170" s="40">
        <f t="shared" si="72"/>
        <v>337.58620689655174</v>
      </c>
      <c r="T170">
        <f t="shared" si="73"/>
        <v>200</v>
      </c>
      <c r="U170">
        <f t="shared" si="74"/>
        <v>200</v>
      </c>
      <c r="V170">
        <f>IF(AND(settings!$D$4=0,settings!$D$7=0),'Small Dist Weight'!P170,IF(AND(settings!$D$4=0,settings!$D$7=1),T170,IF(AND(settings!$D$4=1,settings!$D$7=0),S170,U170)))</f>
        <v>337.58620689655174</v>
      </c>
    </row>
    <row r="171" spans="1:22">
      <c r="A171" t="str">
        <f>'Student Enrollment Data'!A173</f>
        <v>794</v>
      </c>
      <c r="B171">
        <f>'Student Enrollment Data'!B173</f>
        <v>794</v>
      </c>
      <c r="C171" t="str">
        <f>'Student Enrollment Data'!C173</f>
        <v>Payette River Technical Academy #794</v>
      </c>
      <c r="D171">
        <v>1</v>
      </c>
      <c r="E171" s="37">
        <f>IF(settings!$G$4=0,'Student Enrollment Data'!BA173,'Student Enrollment Data'!CN173)</f>
        <v>0</v>
      </c>
      <c r="F171" s="37">
        <f>IF(settings!$G$4=0,'Student Enrollment Data'!BB173,'Student Enrollment Data'!CO173)</f>
        <v>195</v>
      </c>
      <c r="G171" s="37">
        <f t="shared" si="60"/>
        <v>1</v>
      </c>
      <c r="H171" s="37">
        <f t="shared" si="61"/>
        <v>1</v>
      </c>
      <c r="I171" s="37">
        <f t="shared" si="62"/>
        <v>1</v>
      </c>
      <c r="J171" s="39">
        <f t="shared" si="63"/>
        <v>2.0499999999999998</v>
      </c>
      <c r="K171" s="39">
        <f t="shared" si="64"/>
        <v>1.8146551724137931</v>
      </c>
      <c r="L171" s="39">
        <f t="shared" si="65"/>
        <v>2.0499999999999998</v>
      </c>
      <c r="M171" s="39">
        <f t="shared" si="66"/>
        <v>1.6969827586206896</v>
      </c>
      <c r="N171" s="39">
        <f t="shared" si="67"/>
        <v>0</v>
      </c>
      <c r="O171" s="39">
        <f t="shared" si="68"/>
        <v>353.85775862068965</v>
      </c>
      <c r="P171" s="39">
        <f t="shared" si="69"/>
        <v>353.85775862068965</v>
      </c>
      <c r="Q171" s="39">
        <f t="shared" si="70"/>
        <v>0</v>
      </c>
      <c r="R171" s="39">
        <f t="shared" si="71"/>
        <v>330.91163793103448</v>
      </c>
      <c r="S171" s="40">
        <f t="shared" si="72"/>
        <v>330.91163793103448</v>
      </c>
      <c r="T171">
        <f t="shared" si="73"/>
        <v>195</v>
      </c>
      <c r="U171">
        <f t="shared" si="74"/>
        <v>195</v>
      </c>
      <c r="V171">
        <f>IF(AND(settings!$D$4=0,settings!$D$7=0),'Small Dist Weight'!P171,IF(AND(settings!$D$4=0,settings!$D$7=1),T171,IF(AND(settings!$D$4=1,settings!$D$7=0),S171,U171)))</f>
        <v>330.91163793103448</v>
      </c>
    </row>
    <row r="172" spans="1:22">
      <c r="A172" t="str">
        <f>'Student Enrollment Data'!A174</f>
        <v>795</v>
      </c>
      <c r="B172">
        <f>'Student Enrollment Data'!B174</f>
        <v>795</v>
      </c>
      <c r="C172" t="str">
        <f>'Student Enrollment Data'!C174</f>
        <v>Idaho Arts Charter School #795</v>
      </c>
      <c r="D172">
        <v>1</v>
      </c>
      <c r="E172" s="37">
        <f>IF(settings!$G$4=0,'Student Enrollment Data'!BA174,'Student Enrollment Data'!CN174)</f>
        <v>778</v>
      </c>
      <c r="F172" s="37">
        <f>IF(settings!$G$4=0,'Student Enrollment Data'!BB174,'Student Enrollment Data'!CO174)</f>
        <v>338</v>
      </c>
      <c r="G172" s="37">
        <f t="shared" si="60"/>
        <v>0</v>
      </c>
      <c r="H172" s="37">
        <f t="shared" si="61"/>
        <v>1</v>
      </c>
      <c r="I172" s="37">
        <f t="shared" si="62"/>
        <v>0</v>
      </c>
      <c r="J172" s="39" t="str">
        <f t="shared" si="63"/>
        <v/>
      </c>
      <c r="K172" s="39">
        <f t="shared" si="64"/>
        <v>1.6420689655172414</v>
      </c>
      <c r="L172" s="39">
        <f t="shared" si="65"/>
        <v>0</v>
      </c>
      <c r="M172" s="39">
        <f t="shared" si="66"/>
        <v>1.4381034482758621</v>
      </c>
      <c r="N172" s="39">
        <f t="shared" si="67"/>
        <v>778</v>
      </c>
      <c r="O172" s="39">
        <f t="shared" si="68"/>
        <v>555.01931034482755</v>
      </c>
      <c r="P172" s="39">
        <f t="shared" si="69"/>
        <v>1333.0193103448275</v>
      </c>
      <c r="Q172" s="39">
        <f t="shared" si="70"/>
        <v>778</v>
      </c>
      <c r="R172" s="39">
        <f t="shared" si="71"/>
        <v>486.07896551724139</v>
      </c>
      <c r="S172" s="40">
        <f t="shared" si="72"/>
        <v>1264.0789655172414</v>
      </c>
      <c r="T172">
        <f t="shared" si="73"/>
        <v>1116</v>
      </c>
      <c r="U172">
        <f t="shared" si="74"/>
        <v>1116</v>
      </c>
      <c r="V172">
        <f>IF(AND(settings!$D$4=0,settings!$D$7=0),'Small Dist Weight'!P172,IF(AND(settings!$D$4=0,settings!$D$7=1),T172,IF(AND(settings!$D$4=1,settings!$D$7=0),S172,U172)))</f>
        <v>1264.0789655172414</v>
      </c>
    </row>
    <row r="173" spans="1:22">
      <c r="A173" t="str">
        <f>'Student Enrollment Data'!A175</f>
        <v>796</v>
      </c>
      <c r="B173">
        <f>'Student Enrollment Data'!B175</f>
        <v>796</v>
      </c>
      <c r="C173" t="str">
        <f>'Student Enrollment Data'!C175</f>
        <v>Gem Prep: Nampa #796</v>
      </c>
      <c r="D173">
        <v>1</v>
      </c>
      <c r="E173" s="37">
        <f>IF(settings!$G$4=0,'Student Enrollment Data'!BA175,'Student Enrollment Data'!CN175)</f>
        <v>338.5</v>
      </c>
      <c r="F173" s="37">
        <f>IF(settings!$G$4=0,'Student Enrollment Data'!BB175,'Student Enrollment Data'!CO175)</f>
        <v>0</v>
      </c>
      <c r="G173" s="37">
        <f t="shared" si="60"/>
        <v>0</v>
      </c>
      <c r="H173" s="37">
        <f t="shared" si="61"/>
        <v>1</v>
      </c>
      <c r="I173" s="37">
        <f t="shared" si="62"/>
        <v>0</v>
      </c>
      <c r="J173" s="39" t="str">
        <f t="shared" si="63"/>
        <v/>
      </c>
      <c r="K173" s="39">
        <f t="shared" si="64"/>
        <v>2.0499999999999998</v>
      </c>
      <c r="L173" s="39">
        <f t="shared" si="65"/>
        <v>0</v>
      </c>
      <c r="M173" s="39">
        <f t="shared" si="66"/>
        <v>2.0499999999999998</v>
      </c>
      <c r="N173" s="39">
        <f t="shared" si="67"/>
        <v>338.5</v>
      </c>
      <c r="O173" s="39">
        <f t="shared" si="68"/>
        <v>0</v>
      </c>
      <c r="P173" s="39">
        <f t="shared" si="69"/>
        <v>338.5</v>
      </c>
      <c r="Q173" s="39">
        <f t="shared" si="70"/>
        <v>338.5</v>
      </c>
      <c r="R173" s="39">
        <f t="shared" si="71"/>
        <v>0</v>
      </c>
      <c r="S173" s="40">
        <f t="shared" si="72"/>
        <v>338.5</v>
      </c>
      <c r="T173">
        <f t="shared" si="73"/>
        <v>338.5</v>
      </c>
      <c r="U173">
        <f t="shared" si="74"/>
        <v>338.5</v>
      </c>
      <c r="V173">
        <f>IF(AND(settings!$D$4=0,settings!$D$7=0),'Small Dist Weight'!P173,IF(AND(settings!$D$4=0,settings!$D$7=1),T173,IF(AND(settings!$D$4=1,settings!$D$7=0),S173,U173)))</f>
        <v>338.5</v>
      </c>
    </row>
    <row r="174" spans="1:22">
      <c r="A174" t="str">
        <f>'Student Enrollment Data'!A176</f>
        <v>813</v>
      </c>
      <c r="B174">
        <f>'Student Enrollment Data'!B176</f>
        <v>813</v>
      </c>
      <c r="C174" t="str">
        <f>'Student Enrollment Data'!C176</f>
        <v>Moscow Charter School #813</v>
      </c>
      <c r="D174">
        <v>1</v>
      </c>
      <c r="E174" s="37">
        <f>IF(settings!$G$4=0,'Student Enrollment Data'!BA176,'Student Enrollment Data'!CN176)</f>
        <v>131</v>
      </c>
      <c r="F174" s="37">
        <f>IF(settings!$G$4=0,'Student Enrollment Data'!BB176,'Student Enrollment Data'!CO176)</f>
        <v>34</v>
      </c>
      <c r="G174" s="37">
        <f t="shared" si="60"/>
        <v>1</v>
      </c>
      <c r="H174" s="37">
        <f t="shared" si="61"/>
        <v>1</v>
      </c>
      <c r="I174" s="37">
        <f t="shared" si="62"/>
        <v>1</v>
      </c>
      <c r="J174" s="39">
        <f t="shared" si="63"/>
        <v>1.6331818181818183</v>
      </c>
      <c r="K174" s="39">
        <f t="shared" si="64"/>
        <v>2.0089655172413794</v>
      </c>
      <c r="L174" s="39">
        <f t="shared" si="65"/>
        <v>1.4247727272727273</v>
      </c>
      <c r="M174" s="39">
        <f t="shared" si="66"/>
        <v>1.988448275862069</v>
      </c>
      <c r="N174" s="39">
        <f t="shared" si="67"/>
        <v>213.9468181818182</v>
      </c>
      <c r="O174" s="39">
        <f t="shared" si="68"/>
        <v>68.304827586206898</v>
      </c>
      <c r="P174" s="39">
        <f t="shared" si="69"/>
        <v>282.25164576802513</v>
      </c>
      <c r="Q174" s="39">
        <f t="shared" si="70"/>
        <v>186.64522727272728</v>
      </c>
      <c r="R174" s="39">
        <f t="shared" si="71"/>
        <v>67.607241379310338</v>
      </c>
      <c r="S174" s="40">
        <f t="shared" si="72"/>
        <v>254.25246865203763</v>
      </c>
      <c r="T174">
        <f t="shared" si="73"/>
        <v>165</v>
      </c>
      <c r="U174">
        <f t="shared" si="74"/>
        <v>165</v>
      </c>
      <c r="V174">
        <f>IF(AND(settings!$D$4=0,settings!$D$7=0),'Small Dist Weight'!P174,IF(AND(settings!$D$4=0,settings!$D$7=1),T174,IF(AND(settings!$D$4=1,settings!$D$7=0),S174,U174)))</f>
        <v>254.25246865203763</v>
      </c>
    </row>
    <row r="176" spans="1:22">
      <c r="E176" s="42">
        <f>SUM(E2:E175)</f>
        <v>151956</v>
      </c>
      <c r="F176" s="42">
        <f>SUM(F2:F175)</f>
        <v>141727</v>
      </c>
    </row>
    <row r="178" spans="4:4">
      <c r="D178" s="96"/>
    </row>
  </sheetData>
  <mergeCells count="1">
    <mergeCell ref="AA3:AA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74"/>
  <sheetViews>
    <sheetView zoomScaleNormal="100" workbookViewId="0"/>
  </sheetViews>
  <sheetFormatPr defaultColWidth="8.85546875" defaultRowHeight="15"/>
  <cols>
    <col min="2" max="2" width="19.42578125" bestFit="1" customWidth="1"/>
    <col min="3" max="3" width="8.42578125" bestFit="1" customWidth="1"/>
    <col min="4" max="4" width="47.42578125" customWidth="1"/>
    <col min="5" max="5" width="10" bestFit="1" customWidth="1"/>
    <col min="6" max="6" width="12.42578125" style="169" customWidth="1"/>
    <col min="7" max="7" width="12.85546875" style="161" bestFit="1" customWidth="1"/>
    <col min="8" max="8" width="10.42578125" style="169" customWidth="1"/>
    <col min="9" max="9" width="11.42578125" style="161" customWidth="1"/>
    <col min="14" max="14" width="44.140625" bestFit="1" customWidth="1"/>
    <col min="15" max="15" width="23.7109375" bestFit="1" customWidth="1"/>
    <col min="16" max="16" width="19" customWidth="1"/>
    <col min="17" max="20" width="2" customWidth="1"/>
  </cols>
  <sheetData>
    <row r="1" spans="1:20" ht="120">
      <c r="A1" t="s">
        <v>360</v>
      </c>
      <c r="B1" t="s">
        <v>361</v>
      </c>
      <c r="C1" t="s">
        <v>362</v>
      </c>
      <c r="D1" t="s">
        <v>363</v>
      </c>
      <c r="E1" t="s">
        <v>307</v>
      </c>
      <c r="F1" s="171" t="s">
        <v>582</v>
      </c>
      <c r="G1" s="174" t="s">
        <v>583</v>
      </c>
      <c r="H1" s="172" t="s">
        <v>581</v>
      </c>
      <c r="I1" s="176" t="s">
        <v>580</v>
      </c>
      <c r="J1" s="83" t="s">
        <v>584</v>
      </c>
      <c r="K1" s="83" t="s">
        <v>585</v>
      </c>
      <c r="M1" t="s">
        <v>360</v>
      </c>
      <c r="N1" t="s">
        <v>361</v>
      </c>
      <c r="O1" s="25" t="s">
        <v>586</v>
      </c>
      <c r="P1" s="75" t="s">
        <v>587</v>
      </c>
      <c r="Q1" t="s">
        <v>588</v>
      </c>
      <c r="R1" t="s">
        <v>589</v>
      </c>
      <c r="S1" t="s">
        <v>603</v>
      </c>
    </row>
    <row r="2" spans="1:20">
      <c r="A2" s="81">
        <v>21</v>
      </c>
      <c r="B2" t="s">
        <v>364</v>
      </c>
      <c r="C2" s="81">
        <v>349</v>
      </c>
      <c r="D2" t="s">
        <v>367</v>
      </c>
      <c r="E2" s="25">
        <v>83.01072066706368</v>
      </c>
      <c r="F2" s="170">
        <f>IF(E2&lt;='Small Dist Weight'!$AA$5,1+'Small Dist Weight'!$Y$5,IF(E2&gt;0,1+('Small Dist Weight'!$Y$5-(E2*('Small Dist Weight'!$Y$5/'Small Dist Weight'!$X$5))),""))</f>
        <v>1.7858749796957065</v>
      </c>
      <c r="G2" s="175">
        <f>IF(E2&lt;='Small Dist Weight'!$AA$5,1+'Small Dist Weight'!$Y$10,IF(AND(E2&gt;='Small Dist Weight'!$Z$10,E2&lt;'Small Dist Weight'!$X$10),1-'Small Dist Weight'!$AA$10+('Small Dist Weight'!$AA$11-(E2*'Small Dist Weight'!$AB$10)),IF(AND(E2&lt;'Small Dist Weight'!$Z$11,E2&lt;'Small Dist Weight'!$X$11),1+'Small Dist Weight'!$AA$10+('Small Dist Weight'!$AA$11-(E2*'Small Dist Weight'!$AB$11)),0)))</f>
        <v>1.6538124695435596</v>
      </c>
      <c r="H2" s="173">
        <f>IF(F2&lt;1,0,$E2*(F2-1))</f>
        <v>65.236048418754635</v>
      </c>
      <c r="I2" s="177">
        <f>IF(G2&lt;1,0,$E2*(G2-1))</f>
        <v>54.27344427792351</v>
      </c>
      <c r="J2">
        <f>IF(settings!$D$4=0,'Remote School Building Weight'!H2,'Remote School Building Weight'!I2)</f>
        <v>54.27344427792351</v>
      </c>
      <c r="K2">
        <f>IF(settings!$L$4=0,'Remote School Building Weight'!J2,0)</f>
        <v>54.27344427792351</v>
      </c>
      <c r="M2">
        <v>1</v>
      </c>
      <c r="N2" t="s">
        <v>12</v>
      </c>
      <c r="O2">
        <f>SUMIF($A$2:$A$46,M2,$K$2:$K$46)</f>
        <v>0</v>
      </c>
      <c r="P2">
        <f>SUMIF($A$2:$A$46,M2,($E$2:$E$46))*'Front page'!$E$14</f>
        <v>0</v>
      </c>
      <c r="Q2">
        <f t="shared" ref="Q2:Q42" si="0">SUMIF($A$2:$A$46,M2,$E$2:$E$46)</f>
        <v>0</v>
      </c>
      <c r="R2">
        <f>O2+Q2</f>
        <v>0</v>
      </c>
      <c r="S2" s="86"/>
    </row>
    <row r="3" spans="1:20">
      <c r="A3" s="81">
        <v>21</v>
      </c>
      <c r="B3" t="s">
        <v>364</v>
      </c>
      <c r="C3" s="81">
        <v>350</v>
      </c>
      <c r="D3" t="s">
        <v>365</v>
      </c>
      <c r="E3" s="25">
        <v>108.77429048788471</v>
      </c>
      <c r="F3" s="170">
        <f>IF(E3&lt;='Small Dist Weight'!$AA$5,1+'Small Dist Weight'!$Y$5,IF(E3&gt;0,1+('Small Dist Weight'!$Y$5-(E3*('Small Dist Weight'!$Y$5/'Small Dist Weight'!$X$5))),""))</f>
        <v>1.7038999848112759</v>
      </c>
      <c r="G3" s="175">
        <f>IF(E3&lt;='Small Dist Weight'!$AA$5,1+'Small Dist Weight'!$Y$10,IF(AND(E3&gt;='Small Dist Weight'!$Z$10,E3&lt;'Small Dist Weight'!$X$10),1-'Small Dist Weight'!$AA$10+('Small Dist Weight'!$AA$11-(E3*'Small Dist Weight'!$AB$10)),IF(AND(E3&lt;'Small Dist Weight'!$Z$11,E3&lt;'Small Dist Weight'!$X$11),1+'Small Dist Weight'!$AA$10+('Small Dist Weight'!$AA$11-(E3*'Small Dist Weight'!$AB$11)),0)))</f>
        <v>1.530849977216914</v>
      </c>
      <c r="H3" s="173">
        <f t="shared" ref="H3:H46" si="1">IF(F3&lt;1,0,$E3*(F3-1))</f>
        <v>76.566221422279369</v>
      </c>
      <c r="I3" s="177">
        <f t="shared" ref="I3:I46" si="2">IF(G3&lt;1,0,$E3*(G3-1))</f>
        <v>57.742829627279583</v>
      </c>
      <c r="J3">
        <f>IF(settings!$D$4=0,'Remote School Building Weight'!H3,'Remote School Building Weight'!I3)</f>
        <v>57.742829627279583</v>
      </c>
      <c r="K3">
        <f>IF(settings!$L$4=0,'Remote School Building Weight'!J3,0)</f>
        <v>57.742829627279583</v>
      </c>
      <c r="M3">
        <v>2</v>
      </c>
      <c r="N3" t="s">
        <v>13</v>
      </c>
      <c r="O3">
        <f t="shared" ref="O3:O66" si="3">SUMIF($A$2:$A$46,M3,$K$2:$K$46)</f>
        <v>0</v>
      </c>
      <c r="P3">
        <f>SUMIF($A$2:$A$46,M3,($E$2:$E$46))*'Front page'!$E$14</f>
        <v>0</v>
      </c>
      <c r="Q3">
        <f t="shared" si="0"/>
        <v>0</v>
      </c>
      <c r="R3">
        <f t="shared" ref="R3:R66" si="4">O3+Q3</f>
        <v>0</v>
      </c>
      <c r="S3" s="86"/>
    </row>
    <row r="4" spans="1:20">
      <c r="A4" s="81">
        <v>21</v>
      </c>
      <c r="B4" t="s">
        <v>364</v>
      </c>
      <c r="C4" s="81">
        <v>351</v>
      </c>
      <c r="D4" t="s">
        <v>366</v>
      </c>
      <c r="E4" s="25">
        <v>234.35489403164789</v>
      </c>
      <c r="F4" s="170">
        <f>IF(E4&lt;='Small Dist Weight'!$AA$5,1+'Small Dist Weight'!$Y$5,IF(E4&gt;0,1+('Small Dist Weight'!$Y$5-(E4*('Small Dist Weight'!$Y$5/'Small Dist Weight'!$X$5))),""))</f>
        <v>1.3043253371720294</v>
      </c>
      <c r="G4" s="175">
        <f>IF(E4&lt;='Small Dist Weight'!$AA$5,1+'Small Dist Weight'!$Y$10,IF(AND(E4&gt;='Small Dist Weight'!$Z$10,E4&lt;'Small Dist Weight'!$X$10),1-'Small Dist Weight'!$AA$10+('Small Dist Weight'!$AA$11-(E4*'Small Dist Weight'!$AB$10)),IF(AND(E4&lt;'Small Dist Weight'!$Z$11,E4&lt;'Small Dist Weight'!$X$11),1+'Small Dist Weight'!$AA$10+('Small Dist Weight'!$AA$11-(E4*'Small Dist Weight'!$AB$11)),0)))</f>
        <v>1.1521626685860149</v>
      </c>
      <c r="H4" s="173">
        <f t="shared" si="1"/>
        <v>71.320132144096462</v>
      </c>
      <c r="I4" s="177">
        <f t="shared" si="2"/>
        <v>35.660066072048281</v>
      </c>
      <c r="J4">
        <f>IF(settings!$D$4=0,'Remote School Building Weight'!H4,'Remote School Building Weight'!I4)</f>
        <v>35.660066072048281</v>
      </c>
      <c r="K4">
        <f>IF(settings!$L$4=0,'Remote School Building Weight'!J4,0)</f>
        <v>35.660066072048281</v>
      </c>
      <c r="M4">
        <v>3</v>
      </c>
      <c r="N4" t="s">
        <v>14</v>
      </c>
      <c r="O4">
        <f t="shared" si="3"/>
        <v>0</v>
      </c>
      <c r="P4">
        <f>SUMIF($A$2:$A$46,M4,($E$2:$E$46))*'Front page'!$E$14</f>
        <v>0</v>
      </c>
      <c r="Q4">
        <f t="shared" si="0"/>
        <v>0</v>
      </c>
      <c r="R4">
        <f t="shared" si="4"/>
        <v>0</v>
      </c>
      <c r="S4" s="86"/>
    </row>
    <row r="5" spans="1:20">
      <c r="A5" s="81">
        <v>33</v>
      </c>
      <c r="B5" t="s">
        <v>368</v>
      </c>
      <c r="C5" s="81">
        <v>370</v>
      </c>
      <c r="D5" t="s">
        <v>369</v>
      </c>
      <c r="E5" s="25">
        <v>414.72349750283973</v>
      </c>
      <c r="F5" s="170">
        <f>IF(E5&lt;='Small Dist Weight'!$AA$5,1+'Small Dist Weight'!$Y$5,IF(E5&gt;0,1+('Small Dist Weight'!$Y$5-(E5*('Small Dist Weight'!$Y$5/'Small Dist Weight'!$X$5))),""))</f>
        <v>0.73042523521823721</v>
      </c>
      <c r="G5" s="175">
        <f>IF(E5&lt;='Small Dist Weight'!$AA$5,1+'Small Dist Weight'!$Y$10,IF(AND(E5&gt;='Small Dist Weight'!$Z$10,E5&lt;'Small Dist Weight'!$X$10),1-'Small Dist Weight'!$AA$10+('Small Dist Weight'!$AA$11-(E5*'Small Dist Weight'!$AB$10)),IF(AND(E5&lt;'Small Dist Weight'!$Z$11,E5&lt;'Small Dist Weight'!$X$11),1+'Small Dist Weight'!$AA$10+('Small Dist Weight'!$AA$11-(E5*'Small Dist Weight'!$AB$11)),0)))</f>
        <v>0</v>
      </c>
      <c r="H5" s="173">
        <f t="shared" si="1"/>
        <v>0</v>
      </c>
      <c r="I5" s="177">
        <f t="shared" si="2"/>
        <v>0</v>
      </c>
      <c r="J5">
        <f>IF(settings!$D$4=0,'Remote School Building Weight'!H5,'Remote School Building Weight'!I5)</f>
        <v>0</v>
      </c>
      <c r="K5">
        <f>IF(settings!$L$4=0,'Remote School Building Weight'!J5,0)</f>
        <v>0</v>
      </c>
      <c r="M5">
        <v>11</v>
      </c>
      <c r="N5" t="s">
        <v>15</v>
      </c>
      <c r="O5">
        <f t="shared" si="3"/>
        <v>0</v>
      </c>
      <c r="P5">
        <f>SUMIF($A$2:$A$46,M5,($E$2:$E$46))*'Front page'!$E$14</f>
        <v>0</v>
      </c>
      <c r="Q5">
        <f t="shared" si="0"/>
        <v>0</v>
      </c>
      <c r="R5">
        <f t="shared" si="4"/>
        <v>0</v>
      </c>
      <c r="S5" s="86"/>
    </row>
    <row r="6" spans="1:20">
      <c r="A6" s="81">
        <v>33</v>
      </c>
      <c r="B6" t="s">
        <v>368</v>
      </c>
      <c r="C6" s="81">
        <v>371</v>
      </c>
      <c r="D6" t="s">
        <v>370</v>
      </c>
      <c r="E6" s="25">
        <v>104.5271042867477</v>
      </c>
      <c r="F6" s="170">
        <f>IF(E6&lt;='Small Dist Weight'!$AA$5,1+'Small Dist Weight'!$Y$5,IF(E6&gt;0,1+('Small Dist Weight'!$Y$5-(E6*('Small Dist Weight'!$Y$5/'Small Dist Weight'!$X$5))),""))</f>
        <v>1.7174137590876211</v>
      </c>
      <c r="G6" s="175">
        <f>IF(E6&lt;='Small Dist Weight'!$AA$5,1+'Small Dist Weight'!$Y$10,IF(AND(E6&gt;='Small Dist Weight'!$Z$10,E6&lt;'Small Dist Weight'!$X$10),1-'Small Dist Weight'!$AA$10+('Small Dist Weight'!$AA$11-(E6*'Small Dist Weight'!$AB$10)),IF(AND(E6&lt;'Small Dist Weight'!$Z$11,E6&lt;'Small Dist Weight'!$X$11),1+'Small Dist Weight'!$AA$10+('Small Dist Weight'!$AA$11-(E6*'Small Dist Weight'!$AB$11)),0)))</f>
        <v>1.5511206386314313</v>
      </c>
      <c r="H6" s="173">
        <f t="shared" si="1"/>
        <v>74.989182812899458</v>
      </c>
      <c r="I6" s="177">
        <f t="shared" si="2"/>
        <v>57.60704446880662</v>
      </c>
      <c r="J6">
        <f>IF(settings!$D$4=0,'Remote School Building Weight'!H6,'Remote School Building Weight'!I6)</f>
        <v>57.60704446880662</v>
      </c>
      <c r="K6">
        <f>IF(settings!$L$4=0,'Remote School Building Weight'!J6,0)</f>
        <v>57.60704446880662</v>
      </c>
      <c r="M6">
        <v>13</v>
      </c>
      <c r="N6" t="s">
        <v>16</v>
      </c>
      <c r="O6">
        <f t="shared" si="3"/>
        <v>0</v>
      </c>
      <c r="P6">
        <f>SUMIF($A$2:$A$46,M6,($E$2:$E$46))*'Front page'!$E$14</f>
        <v>0</v>
      </c>
      <c r="Q6">
        <f t="shared" si="0"/>
        <v>0</v>
      </c>
      <c r="R6">
        <f t="shared" si="4"/>
        <v>0</v>
      </c>
      <c r="S6" s="86"/>
      <c r="T6" t="s">
        <v>590</v>
      </c>
    </row>
    <row r="7" spans="1:20" s="179" customFormat="1">
      <c r="A7" s="178">
        <v>41</v>
      </c>
      <c r="B7" s="179" t="s">
        <v>371</v>
      </c>
      <c r="C7" s="178">
        <v>374</v>
      </c>
      <c r="D7" s="179" t="s">
        <v>372</v>
      </c>
      <c r="E7" s="180">
        <v>67.83725618092636</v>
      </c>
      <c r="F7" s="181">
        <f>IF(E7&lt;='Small Dist Weight'!$AA$5,1+'Small Dist Weight'!$Y$5,IF(E7&gt;0,1+('Small Dist Weight'!$Y$5-(E7*('Small Dist Weight'!$Y$5/'Small Dist Weight'!$X$5))),""))</f>
        <v>1.8341541848788707</v>
      </c>
      <c r="G7" s="182">
        <f>IF(E7&lt;='Small Dist Weight'!$AA$5,1+'Small Dist Weight'!$Y$10,IF(AND(E7&gt;='Small Dist Weight'!$Z$10,E7&lt;'Small Dist Weight'!$X$10),1-'Small Dist Weight'!$AA$10+('Small Dist Weight'!$AA$11-(E7*'Small Dist Weight'!$AB$10)),IF(AND(E7&lt;'Small Dist Weight'!$Z$11,E7&lt;'Small Dist Weight'!$X$11),1+'Small Dist Weight'!$AA$10+('Small Dist Weight'!$AA$11-(E7*'Small Dist Weight'!$AB$11)),0)))</f>
        <v>1.7262312773183059</v>
      </c>
      <c r="H7" s="183">
        <f t="shared" si="1"/>
        <v>56.586731134019765</v>
      </c>
      <c r="I7" s="183">
        <f t="shared" si="2"/>
        <v>49.265537206043298</v>
      </c>
      <c r="J7" s="179">
        <f>IF(settings!$D$4=0,'Remote School Building Weight'!H7,'Remote School Building Weight'!I7)</f>
        <v>49.265537206043298</v>
      </c>
      <c r="K7" s="179">
        <f>IF(settings!$L$4=0,'Remote School Building Weight'!J7,0)</f>
        <v>49.265537206043298</v>
      </c>
      <c r="M7" s="179">
        <v>21</v>
      </c>
      <c r="N7" s="179" t="s">
        <v>17</v>
      </c>
      <c r="O7" s="179">
        <f t="shared" si="3"/>
        <v>147.67633997725136</v>
      </c>
      <c r="P7">
        <f>SUMIF($A$2:$A$46,M7,($E$2:$E$46))*'Front page'!$E$14</f>
        <v>0</v>
      </c>
      <c r="Q7">
        <f t="shared" si="0"/>
        <v>426.13990518659625</v>
      </c>
      <c r="R7">
        <f t="shared" si="4"/>
        <v>573.81624516384761</v>
      </c>
      <c r="S7" s="86">
        <v>0.25735824180976929</v>
      </c>
      <c r="T7" s="184">
        <f>AVERAGE(S2:S169)</f>
        <v>0.34044075392487844</v>
      </c>
    </row>
    <row r="8" spans="1:20">
      <c r="A8" s="81">
        <v>55</v>
      </c>
      <c r="B8" t="s">
        <v>373</v>
      </c>
      <c r="C8" s="81">
        <v>387</v>
      </c>
      <c r="D8" t="s">
        <v>374</v>
      </c>
      <c r="E8" s="25">
        <v>148.00269465735076</v>
      </c>
      <c r="F8" s="170">
        <f>IF(E8&lt;='Small Dist Weight'!$AA$5,1+'Small Dist Weight'!$Y$5,IF(E8&gt;0,1+('Small Dist Weight'!$Y$5-(E8*('Small Dist Weight'!$Y$5/'Small Dist Weight'!$X$5))),""))</f>
        <v>1.5790823351811567</v>
      </c>
      <c r="G8" s="175">
        <f>IF(E8&lt;='Small Dist Weight'!$AA$5,1+'Small Dist Weight'!$Y$10,IF(AND(E8&gt;='Small Dist Weight'!$Z$10,E8&lt;'Small Dist Weight'!$X$10),1-'Small Dist Weight'!$AA$10+('Small Dist Weight'!$AA$11-(E8*'Small Dist Weight'!$AB$10)),IF(AND(E8&lt;'Small Dist Weight'!$Z$11,E8&lt;'Small Dist Weight'!$X$11),1+'Small Dist Weight'!$AA$10+('Small Dist Weight'!$AA$11-(E8*'Small Dist Weight'!$AB$11)),0)))</f>
        <v>1.3436235027717349</v>
      </c>
      <c r="H8" s="173">
        <f t="shared" si="1"/>
        <v>85.705746035282388</v>
      </c>
      <c r="I8" s="177">
        <f t="shared" si="2"/>
        <v>50.857204357814403</v>
      </c>
      <c r="J8">
        <f>IF(settings!$D$4=0,'Remote School Building Weight'!H8,'Remote School Building Weight'!I8)</f>
        <v>50.857204357814403</v>
      </c>
      <c r="K8">
        <f>IF(settings!$L$4=0,'Remote School Building Weight'!J8,0)</f>
        <v>50.857204357814403</v>
      </c>
      <c r="M8">
        <v>25</v>
      </c>
      <c r="N8" t="s">
        <v>18</v>
      </c>
      <c r="O8">
        <f t="shared" si="3"/>
        <v>0</v>
      </c>
      <c r="P8">
        <f>SUMIF($A$2:$A$46,M8,($E$2:$E$46))*'Front page'!$E$14</f>
        <v>0</v>
      </c>
      <c r="Q8">
        <f t="shared" si="0"/>
        <v>0</v>
      </c>
      <c r="R8">
        <f t="shared" si="4"/>
        <v>0</v>
      </c>
      <c r="S8" s="86"/>
    </row>
    <row r="9" spans="1:20">
      <c r="A9" s="81">
        <v>61</v>
      </c>
      <c r="B9" t="s">
        <v>375</v>
      </c>
      <c r="C9" s="81">
        <v>197</v>
      </c>
      <c r="D9" t="s">
        <v>376</v>
      </c>
      <c r="E9" s="25">
        <v>236.22161154174344</v>
      </c>
      <c r="F9" s="170">
        <f>IF(E9&lt;='Small Dist Weight'!$AA$5,1+'Small Dist Weight'!$Y$5,IF(E9&gt;0,1+('Small Dist Weight'!$Y$5-(E9*('Small Dist Weight'!$Y$5/'Small Dist Weight'!$X$5))),""))</f>
        <v>1.298385781458089</v>
      </c>
      <c r="G9" s="175">
        <f>IF(E9&lt;='Small Dist Weight'!$AA$5,1+'Small Dist Weight'!$Y$10,IF(AND(E9&gt;='Small Dist Weight'!$Z$10,E9&lt;'Small Dist Weight'!$X$10),1-'Small Dist Weight'!$AA$10+('Small Dist Weight'!$AA$11-(E9*'Small Dist Weight'!$AB$10)),IF(AND(E9&lt;'Small Dist Weight'!$Z$11,E9&lt;'Small Dist Weight'!$X$11),1+'Small Dist Weight'!$AA$10+('Small Dist Weight'!$AA$11-(E9*'Small Dist Weight'!$AB$11)),0)))</f>
        <v>1.1491928907290445</v>
      </c>
      <c r="H9" s="173">
        <f t="shared" si="1"/>
        <v>70.485170157172263</v>
      </c>
      <c r="I9" s="177">
        <f t="shared" si="2"/>
        <v>35.242585078586131</v>
      </c>
      <c r="J9">
        <f>IF(settings!$D$4=0,'Remote School Building Weight'!H9,'Remote School Building Weight'!I9)</f>
        <v>35.242585078586131</v>
      </c>
      <c r="K9">
        <f>IF(settings!$L$4=0,'Remote School Building Weight'!J9,0)</f>
        <v>35.242585078586131</v>
      </c>
      <c r="M9">
        <v>33</v>
      </c>
      <c r="N9" t="s">
        <v>19</v>
      </c>
      <c r="O9">
        <f t="shared" si="3"/>
        <v>57.60704446880662</v>
      </c>
      <c r="P9">
        <f>SUMIF($A$2:$A$46,M9,($E$2:$E$46))*'Front page'!$E$14</f>
        <v>0</v>
      </c>
      <c r="Q9">
        <f t="shared" si="0"/>
        <v>519.25060178958745</v>
      </c>
      <c r="R9">
        <f t="shared" si="4"/>
        <v>576.85764625839408</v>
      </c>
      <c r="S9" s="86">
        <v>9.9863536251025911E-2</v>
      </c>
    </row>
    <row r="10" spans="1:20">
      <c r="A10" s="81">
        <v>61</v>
      </c>
      <c r="B10" s="80" t="s">
        <v>375</v>
      </c>
      <c r="C10" s="81">
        <v>395</v>
      </c>
      <c r="D10" t="s">
        <v>377</v>
      </c>
      <c r="E10" s="25">
        <v>390.6093195266273</v>
      </c>
      <c r="F10" s="170">
        <f>IF(E10&lt;='Small Dist Weight'!$AA$5,1+'Small Dist Weight'!$Y$5,IF(E10&gt;0,1+('Small Dist Weight'!$Y$5-(E10*('Small Dist Weight'!$Y$5/'Small Dist Weight'!$X$5))),""))</f>
        <v>0.8071521651425495</v>
      </c>
      <c r="G10" s="175">
        <f>IF(E10&lt;='Small Dist Weight'!$AA$5,1+'Small Dist Weight'!$Y$10,IF(AND(E10&gt;='Small Dist Weight'!$Z$10,E10&lt;'Small Dist Weight'!$X$10),1-'Small Dist Weight'!$AA$10+('Small Dist Weight'!$AA$11-(E10*'Small Dist Weight'!$AB$10)),IF(AND(E10&lt;'Small Dist Weight'!$Z$11,E10&lt;'Small Dist Weight'!$X$11),1+'Small Dist Weight'!$AA$10+('Small Dist Weight'!$AA$11-(E10*'Small Dist Weight'!$AB$11)),0)))</f>
        <v>0</v>
      </c>
      <c r="H10" s="173">
        <f t="shared" si="1"/>
        <v>0</v>
      </c>
      <c r="I10" s="177">
        <f t="shared" si="2"/>
        <v>0</v>
      </c>
      <c r="J10">
        <f>IF(settings!$D$4=0,'Remote School Building Weight'!H10,'Remote School Building Weight'!I10)</f>
        <v>0</v>
      </c>
      <c r="K10">
        <f>IF(settings!$L$4=0,'Remote School Building Weight'!J10,0)</f>
        <v>0</v>
      </c>
      <c r="M10">
        <v>41</v>
      </c>
      <c r="N10" t="s">
        <v>20</v>
      </c>
      <c r="O10">
        <f t="shared" si="3"/>
        <v>49.265537206043298</v>
      </c>
      <c r="P10">
        <f>SUMIF($A$2:$A$46,M10,($E$2:$E$46))*'Front page'!$E$14</f>
        <v>0</v>
      </c>
      <c r="Q10">
        <f t="shared" si="0"/>
        <v>67.83725618092636</v>
      </c>
      <c r="R10">
        <f t="shared" si="4"/>
        <v>117.10279338696967</v>
      </c>
      <c r="S10" s="86">
        <v>0.42070334772667517</v>
      </c>
      <c r="T10" s="84"/>
    </row>
    <row r="11" spans="1:20">
      <c r="A11" s="81">
        <v>71</v>
      </c>
      <c r="B11" t="s">
        <v>378</v>
      </c>
      <c r="C11" s="81">
        <v>398</v>
      </c>
      <c r="D11" t="s">
        <v>379</v>
      </c>
      <c r="E11" s="25">
        <v>5.1268965517241432</v>
      </c>
      <c r="F11" s="170">
        <f>IF(E11&lt;='Small Dist Weight'!$AA$5,1+'Small Dist Weight'!$Y$5,IF(E11&gt;0,1+('Small Dist Weight'!$Y$5-(E11*('Small Dist Weight'!$Y$5/'Small Dist Weight'!$X$5))),""))</f>
        <v>2.0499999999999998</v>
      </c>
      <c r="G11" s="175">
        <f>IF(E11&lt;='Small Dist Weight'!$AA$5,1+'Small Dist Weight'!$Y$10,IF(AND(E11&gt;='Small Dist Weight'!$Z$10,E11&lt;'Small Dist Weight'!$X$10),1-'Small Dist Weight'!$AA$10+('Small Dist Weight'!$AA$11-(E11*'Small Dist Weight'!$AB$10)),IF(AND(E11&lt;'Small Dist Weight'!$Z$11,E11&lt;'Small Dist Weight'!$X$11),1+'Small Dist Weight'!$AA$10+('Small Dist Weight'!$AA$11-(E11*'Small Dist Weight'!$AB$11)),0)))</f>
        <v>2.0499999999999998</v>
      </c>
      <c r="H11" s="173">
        <f t="shared" si="1"/>
        <v>5.3832413793103493</v>
      </c>
      <c r="I11" s="177">
        <f t="shared" si="2"/>
        <v>5.3832413793103493</v>
      </c>
      <c r="J11">
        <f>IF(settings!$D$4=0,'Remote School Building Weight'!H11,'Remote School Building Weight'!I11)</f>
        <v>5.3832413793103493</v>
      </c>
      <c r="K11">
        <f>IF(settings!$L$4=0,'Remote School Building Weight'!J11,0)</f>
        <v>5.3832413793103493</v>
      </c>
      <c r="M11">
        <v>44</v>
      </c>
      <c r="N11" t="s">
        <v>21</v>
      </c>
      <c r="O11">
        <f t="shared" si="3"/>
        <v>0</v>
      </c>
      <c r="P11">
        <f>SUMIF($A$2:$A$46,M11,($E$2:$E$46))*'Front page'!$E$14</f>
        <v>0</v>
      </c>
      <c r="Q11">
        <f t="shared" si="0"/>
        <v>0</v>
      </c>
      <c r="R11">
        <f t="shared" si="4"/>
        <v>0</v>
      </c>
      <c r="S11" s="86"/>
    </row>
    <row r="12" spans="1:20">
      <c r="A12" s="81">
        <v>83</v>
      </c>
      <c r="B12" t="s">
        <v>380</v>
      </c>
      <c r="C12" s="81">
        <v>406</v>
      </c>
      <c r="D12" t="s">
        <v>381</v>
      </c>
      <c r="E12" s="25">
        <v>43.984055126138614</v>
      </c>
      <c r="F12" s="170">
        <f>IF(E12&lt;='Small Dist Weight'!$AA$5,1+'Small Dist Weight'!$Y$5,IF(E12&gt;0,1+('Small Dist Weight'!$Y$5-(E12*('Small Dist Weight'!$Y$5/'Small Dist Weight'!$X$5))),""))</f>
        <v>1.9100507336895589</v>
      </c>
      <c r="G12" s="175">
        <f>IF(E12&lt;='Small Dist Weight'!$AA$5,1+'Small Dist Weight'!$Y$10,IF(AND(E12&gt;='Small Dist Weight'!$Z$10,E12&lt;'Small Dist Weight'!$X$10),1-'Small Dist Weight'!$AA$10+('Small Dist Weight'!$AA$11-(E12*'Small Dist Weight'!$AB$10)),IF(AND(E12&lt;'Small Dist Weight'!$Z$11,E12&lt;'Small Dist Weight'!$X$11),1+'Small Dist Weight'!$AA$10+('Small Dist Weight'!$AA$11-(E12*'Small Dist Weight'!$AB$11)),0)))</f>
        <v>1.8400761005343385</v>
      </c>
      <c r="H12" s="173">
        <f t="shared" si="1"/>
        <v>40.027721638184453</v>
      </c>
      <c r="I12" s="177">
        <f t="shared" si="2"/>
        <v>36.94995351605391</v>
      </c>
      <c r="J12">
        <f>IF(settings!$D$4=0,'Remote School Building Weight'!H12,'Remote School Building Weight'!I12)</f>
        <v>36.94995351605391</v>
      </c>
      <c r="K12">
        <f>IF(settings!$L$4=0,'Remote School Building Weight'!J12,0)</f>
        <v>36.94995351605391</v>
      </c>
      <c r="M12">
        <v>52</v>
      </c>
      <c r="N12" t="s">
        <v>22</v>
      </c>
      <c r="O12">
        <f t="shared" si="3"/>
        <v>0</v>
      </c>
      <c r="P12">
        <f>SUMIF($A$2:$A$46,M12,($E$2:$E$46))*'Front page'!$E$14</f>
        <v>0</v>
      </c>
      <c r="Q12">
        <f t="shared" si="0"/>
        <v>0</v>
      </c>
      <c r="R12">
        <f t="shared" si="4"/>
        <v>0</v>
      </c>
      <c r="S12" s="86"/>
    </row>
    <row r="13" spans="1:20">
      <c r="A13" s="81">
        <v>84</v>
      </c>
      <c r="B13" t="s">
        <v>382</v>
      </c>
      <c r="C13" s="81">
        <v>49</v>
      </c>
      <c r="D13" t="s">
        <v>383</v>
      </c>
      <c r="E13" s="25">
        <v>111.83437500000045</v>
      </c>
      <c r="F13" s="170">
        <f>IF(E13&lt;='Small Dist Weight'!$AA$5,1+'Small Dist Weight'!$Y$5,IF(E13&gt;0,1+('Small Dist Weight'!$Y$5-(E13*('Small Dist Weight'!$Y$5/'Small Dist Weight'!$X$5))),""))</f>
        <v>1.6941633522727257</v>
      </c>
      <c r="G13" s="175">
        <f>IF(E13&lt;='Small Dist Weight'!$AA$5,1+'Small Dist Weight'!$Y$10,IF(AND(E13&gt;='Small Dist Weight'!$Z$10,E13&lt;'Small Dist Weight'!$X$10),1-'Small Dist Weight'!$AA$10+('Small Dist Weight'!$AA$11-(E13*'Small Dist Weight'!$AB$10)),IF(AND(E13&lt;'Small Dist Weight'!$Z$11,E13&lt;'Small Dist Weight'!$X$11),1+'Small Dist Weight'!$AA$10+('Small Dist Weight'!$AA$11-(E13*'Small Dist Weight'!$AB$11)),0)))</f>
        <v>1.5162450284090889</v>
      </c>
      <c r="H13" s="173">
        <f t="shared" si="1"/>
        <v>77.631324649325421</v>
      </c>
      <c r="I13" s="177">
        <f t="shared" si="2"/>
        <v>57.733940098987937</v>
      </c>
      <c r="J13">
        <f>IF(settings!$D$4=0,'Remote School Building Weight'!H13,'Remote School Building Weight'!I13)</f>
        <v>57.733940098987937</v>
      </c>
      <c r="K13">
        <f>IF(settings!$L$4=0,'Remote School Building Weight'!J13,0)</f>
        <v>57.733940098987937</v>
      </c>
      <c r="M13">
        <v>55</v>
      </c>
      <c r="N13" t="s">
        <v>23</v>
      </c>
      <c r="O13">
        <f t="shared" si="3"/>
        <v>50.857204357814403</v>
      </c>
      <c r="P13">
        <f>SUMIF($A$2:$A$46,M13,($E$2:$E$46))*'Front page'!$E$14</f>
        <v>0</v>
      </c>
      <c r="Q13">
        <f t="shared" si="0"/>
        <v>148.00269465735076</v>
      </c>
      <c r="R13">
        <f t="shared" si="4"/>
        <v>198.85989901516515</v>
      </c>
      <c r="S13" s="86">
        <v>0.25574389109961282</v>
      </c>
    </row>
    <row r="14" spans="1:20">
      <c r="A14" s="81">
        <v>84</v>
      </c>
      <c r="B14" t="s">
        <v>382</v>
      </c>
      <c r="C14" s="81">
        <v>401</v>
      </c>
      <c r="D14" t="s">
        <v>384</v>
      </c>
      <c r="E14" s="25">
        <v>98.843750000000043</v>
      </c>
      <c r="F14" s="170">
        <f>IF(E14&lt;='Small Dist Weight'!$AA$5,1+'Small Dist Weight'!$Y$5,IF(E14&gt;0,1+('Small Dist Weight'!$Y$5-(E14*('Small Dist Weight'!$Y$5/'Small Dist Weight'!$X$5))),""))</f>
        <v>1.735497159090909</v>
      </c>
      <c r="G14" s="175">
        <f>IF(E14&lt;='Small Dist Weight'!$AA$5,1+'Small Dist Weight'!$Y$10,IF(AND(E14&gt;='Small Dist Weight'!$Z$10,E14&lt;'Small Dist Weight'!$X$10),1-'Small Dist Weight'!$AA$10+('Small Dist Weight'!$AA$11-(E14*'Small Dist Weight'!$AB$10)),IF(AND(E14&lt;'Small Dist Weight'!$Z$11,E14&lt;'Small Dist Weight'!$X$11),1+'Small Dist Weight'!$AA$10+('Small Dist Weight'!$AA$11-(E14*'Small Dist Weight'!$AB$11)),0)))</f>
        <v>1.5782457386363635</v>
      </c>
      <c r="H14" s="173">
        <f t="shared" si="1"/>
        <v>72.699297318892064</v>
      </c>
      <c r="I14" s="177">
        <f t="shared" si="2"/>
        <v>57.155977228338081</v>
      </c>
      <c r="J14">
        <f>IF(settings!$D$4=0,'Remote School Building Weight'!H14,'Remote School Building Weight'!I14)</f>
        <v>57.155977228338081</v>
      </c>
      <c r="K14">
        <f>IF(settings!$L$4=0,'Remote School Building Weight'!J14,0)</f>
        <v>57.155977228338081</v>
      </c>
      <c r="M14">
        <v>58</v>
      </c>
      <c r="N14" t="s">
        <v>24</v>
      </c>
      <c r="O14">
        <f t="shared" si="3"/>
        <v>0</v>
      </c>
      <c r="P14">
        <f>SUMIF($A$2:$A$46,M14,($E$2:$E$46))*'Front page'!$E$14</f>
        <v>0</v>
      </c>
      <c r="Q14">
        <f t="shared" si="0"/>
        <v>0</v>
      </c>
      <c r="R14">
        <f t="shared" si="4"/>
        <v>0</v>
      </c>
      <c r="S14" s="86"/>
    </row>
    <row r="15" spans="1:20">
      <c r="A15" s="81">
        <v>101</v>
      </c>
      <c r="B15" t="s">
        <v>385</v>
      </c>
      <c r="C15" s="81">
        <v>434</v>
      </c>
      <c r="D15" t="s">
        <v>386</v>
      </c>
      <c r="E15" s="25">
        <v>139.410462985122</v>
      </c>
      <c r="F15" s="170">
        <f>IF(E15&lt;='Small Dist Weight'!$AA$5,1+'Small Dist Weight'!$Y$5,IF(E15&gt;0,1+('Small Dist Weight'!$Y$5-(E15*('Small Dist Weight'!$Y$5/'Small Dist Weight'!$X$5))),""))</f>
        <v>1.6064212541382483</v>
      </c>
      <c r="G15" s="175">
        <f>IF(E15&lt;='Small Dist Weight'!$AA$5,1+'Small Dist Weight'!$Y$10,IF(AND(E15&gt;='Small Dist Weight'!$Z$10,E15&lt;'Small Dist Weight'!$X$10),1-'Small Dist Weight'!$AA$10+('Small Dist Weight'!$AA$11-(E15*'Small Dist Weight'!$AB$10)),IF(AND(E15&lt;'Small Dist Weight'!$Z$11,E15&lt;'Small Dist Weight'!$X$11),1+'Small Dist Weight'!$AA$10+('Small Dist Weight'!$AA$11-(E15*'Small Dist Weight'!$AB$11)),0)))</f>
        <v>1.3846318812073721</v>
      </c>
      <c r="H15" s="173">
        <f t="shared" si="1"/>
        <v>84.54146780343153</v>
      </c>
      <c r="I15" s="177">
        <f t="shared" si="2"/>
        <v>53.621708637958193</v>
      </c>
      <c r="J15">
        <f>IF(settings!$D$4=0,'Remote School Building Weight'!H15,'Remote School Building Weight'!I15)</f>
        <v>53.621708637958193</v>
      </c>
      <c r="K15">
        <f>IF(settings!$L$4=0,'Remote School Building Weight'!J15,0)</f>
        <v>53.621708637958193</v>
      </c>
      <c r="M15">
        <v>59</v>
      </c>
      <c r="N15" t="s">
        <v>25</v>
      </c>
      <c r="O15">
        <f t="shared" si="3"/>
        <v>0</v>
      </c>
      <c r="P15">
        <f>SUMIF($A$2:$A$46,M15,($E$2:$E$46))*'Front page'!$E$14</f>
        <v>0</v>
      </c>
      <c r="Q15">
        <f t="shared" si="0"/>
        <v>0</v>
      </c>
      <c r="R15">
        <f t="shared" si="4"/>
        <v>0</v>
      </c>
      <c r="S15" s="86"/>
    </row>
    <row r="16" spans="1:20">
      <c r="A16" s="81">
        <v>111</v>
      </c>
      <c r="B16" t="s">
        <v>387</v>
      </c>
      <c r="C16" s="81">
        <v>438</v>
      </c>
      <c r="D16" t="s">
        <v>388</v>
      </c>
      <c r="E16" s="25">
        <v>29.282062327827646</v>
      </c>
      <c r="F16" s="170">
        <f>IF(E16&lt;='Small Dist Weight'!$AA$5,1+'Small Dist Weight'!$Y$5,IF(E16&gt;0,1+('Small Dist Weight'!$Y$5-(E16*('Small Dist Weight'!$Y$5/'Small Dist Weight'!$X$5))),""))</f>
        <v>2.0499999999999998</v>
      </c>
      <c r="G16" s="175">
        <f>IF(E16&lt;='Small Dist Weight'!$AA$5,1+'Small Dist Weight'!$Y$10,IF(AND(E16&gt;='Small Dist Weight'!$Z$10,E16&lt;'Small Dist Weight'!$X$10),1-'Small Dist Weight'!$AA$10+('Small Dist Weight'!$AA$11-(E16*'Small Dist Weight'!$AB$10)),IF(AND(E16&lt;'Small Dist Weight'!$Z$11,E16&lt;'Small Dist Weight'!$X$11),1+'Small Dist Weight'!$AA$10+('Small Dist Weight'!$AA$11-(E16*'Small Dist Weight'!$AB$11)),0)))</f>
        <v>2.0499999999999998</v>
      </c>
      <c r="H16" s="173">
        <f t="shared" si="1"/>
        <v>30.746165444219024</v>
      </c>
      <c r="I16" s="177">
        <f t="shared" si="2"/>
        <v>30.746165444219024</v>
      </c>
      <c r="J16">
        <f>IF(settings!$D$4=0,'Remote School Building Weight'!H16,'Remote School Building Weight'!I16)</f>
        <v>30.746165444219024</v>
      </c>
      <c r="K16">
        <f>IF(settings!$L$4=0,'Remote School Building Weight'!J16,0)</f>
        <v>30.746165444219024</v>
      </c>
      <c r="M16">
        <v>60</v>
      </c>
      <c r="N16" t="s">
        <v>26</v>
      </c>
      <c r="O16">
        <f t="shared" si="3"/>
        <v>0</v>
      </c>
      <c r="P16">
        <f>SUMIF($A$2:$A$46,M16,($E$2:$E$46))*'Front page'!$E$14</f>
        <v>0</v>
      </c>
      <c r="Q16">
        <f t="shared" si="0"/>
        <v>0</v>
      </c>
      <c r="R16">
        <f t="shared" si="4"/>
        <v>0</v>
      </c>
      <c r="S16" s="86"/>
    </row>
    <row r="17" spans="1:19">
      <c r="A17" s="81">
        <v>148</v>
      </c>
      <c r="B17" t="s">
        <v>389</v>
      </c>
      <c r="C17" s="81">
        <v>462</v>
      </c>
      <c r="D17" t="s">
        <v>390</v>
      </c>
      <c r="E17" s="25">
        <v>106.20750000000001</v>
      </c>
      <c r="F17" s="170">
        <f>IF(E17&lt;='Small Dist Weight'!$AA$5,1+'Small Dist Weight'!$Y$5,IF(E17&gt;0,1+('Small Dist Weight'!$Y$5-(E17*('Small Dist Weight'!$Y$5/'Small Dist Weight'!$X$5))),""))</f>
        <v>1.7120670454545455</v>
      </c>
      <c r="G17" s="175">
        <f>IF(E17&lt;='Small Dist Weight'!$AA$5,1+'Small Dist Weight'!$Y$10,IF(AND(E17&gt;='Small Dist Weight'!$Z$10,E17&lt;'Small Dist Weight'!$X$10),1-'Small Dist Weight'!$AA$10+('Small Dist Weight'!$AA$11-(E17*'Small Dist Weight'!$AB$10)),IF(AND(E17&lt;'Small Dist Weight'!$Z$11,E17&lt;'Small Dist Weight'!$X$11),1+'Small Dist Weight'!$AA$10+('Small Dist Weight'!$AA$11-(E17*'Small Dist Weight'!$AB$11)),0)))</f>
        <v>1.5431005681818182</v>
      </c>
      <c r="H17" s="173">
        <f t="shared" si="1"/>
        <v>75.626860730113648</v>
      </c>
      <c r="I17" s="177">
        <f t="shared" si="2"/>
        <v>57.681353595170457</v>
      </c>
      <c r="J17">
        <f>IF(settings!$D$4=0,'Remote School Building Weight'!H17,'Remote School Building Weight'!I17)</f>
        <v>57.681353595170457</v>
      </c>
      <c r="K17">
        <f>IF(settings!$L$4=0,'Remote School Building Weight'!J17,0)</f>
        <v>57.681353595170457</v>
      </c>
      <c r="M17">
        <v>61</v>
      </c>
      <c r="N17" t="s">
        <v>27</v>
      </c>
      <c r="O17">
        <f t="shared" si="3"/>
        <v>35.242585078586131</v>
      </c>
      <c r="P17">
        <f>SUMIF($A$2:$A$46,M17,($E$2:$E$46))*'Front page'!$E$14</f>
        <v>0</v>
      </c>
      <c r="Q17">
        <f t="shared" si="0"/>
        <v>626.83093106837077</v>
      </c>
      <c r="R17">
        <f t="shared" si="4"/>
        <v>662.07351614695688</v>
      </c>
      <c r="S17" s="86">
        <v>5.3230622006580193E-2</v>
      </c>
    </row>
    <row r="18" spans="1:19">
      <c r="A18" s="81">
        <v>151</v>
      </c>
      <c r="B18" t="s">
        <v>391</v>
      </c>
      <c r="C18" s="81">
        <v>82</v>
      </c>
      <c r="D18" t="s">
        <v>392</v>
      </c>
      <c r="E18" s="25">
        <v>226.50055188892952</v>
      </c>
      <c r="F18" s="170">
        <f>IF(E18&lt;='Small Dist Weight'!$AA$5,1+'Small Dist Weight'!$Y$5,IF(E18&gt;0,1+('Small Dist Weight'!$Y$5-(E18*('Small Dist Weight'!$Y$5/'Small Dist Weight'!$X$5))),""))</f>
        <v>1.3293164258079515</v>
      </c>
      <c r="G18" s="175">
        <f>IF(E18&lt;='Small Dist Weight'!$AA$5,1+'Small Dist Weight'!$Y$10,IF(AND(E18&gt;='Small Dist Weight'!$Z$10,E18&lt;'Small Dist Weight'!$X$10),1-'Small Dist Weight'!$AA$10+('Small Dist Weight'!$AA$11-(E18*'Small Dist Weight'!$AB$10)),IF(AND(E18&lt;'Small Dist Weight'!$Z$11,E18&lt;'Small Dist Weight'!$X$11),1+'Small Dist Weight'!$AA$10+('Small Dist Weight'!$AA$11-(E18*'Small Dist Weight'!$AB$11)),0)))</f>
        <v>1.164658212903976</v>
      </c>
      <c r="H18" s="173">
        <f t="shared" si="1"/>
        <v>74.590352191590725</v>
      </c>
      <c r="I18" s="177">
        <f t="shared" si="2"/>
        <v>37.295176095795412</v>
      </c>
      <c r="J18">
        <f>IF(settings!$D$4=0,'Remote School Building Weight'!H18,'Remote School Building Weight'!I18)</f>
        <v>37.295176095795412</v>
      </c>
      <c r="K18">
        <f>IF(settings!$L$4=0,'Remote School Building Weight'!J18,0)</f>
        <v>37.295176095795412</v>
      </c>
      <c r="M18">
        <v>71</v>
      </c>
      <c r="N18" t="s">
        <v>28</v>
      </c>
      <c r="O18">
        <f t="shared" si="3"/>
        <v>5.3832413793103493</v>
      </c>
      <c r="P18">
        <f>SUMIF($A$2:$A$46,M18,($E$2:$E$46))*'Front page'!$E$14</f>
        <v>0</v>
      </c>
      <c r="Q18">
        <f t="shared" si="0"/>
        <v>5.1268965517241432</v>
      </c>
      <c r="R18">
        <f t="shared" si="4"/>
        <v>10.510137931034492</v>
      </c>
      <c r="S18" s="86">
        <v>0.51219512195121941</v>
      </c>
    </row>
    <row r="19" spans="1:19">
      <c r="A19" s="81">
        <v>151</v>
      </c>
      <c r="B19" t="s">
        <v>391</v>
      </c>
      <c r="C19" s="81">
        <v>83</v>
      </c>
      <c r="D19" t="s">
        <v>393</v>
      </c>
      <c r="E19" s="25">
        <v>158.2779687191136</v>
      </c>
      <c r="F19" s="170">
        <f>IF(E19&lt;='Small Dist Weight'!$AA$5,1+'Small Dist Weight'!$Y$5,IF(E19&gt;0,1+('Small Dist Weight'!$Y$5-(E19*('Small Dist Weight'!$Y$5/'Small Dist Weight'!$X$5))),""))</f>
        <v>1.5463882813482748</v>
      </c>
      <c r="G19" s="175">
        <f>IF(E19&lt;='Small Dist Weight'!$AA$5,1+'Small Dist Weight'!$Y$10,IF(AND(E19&gt;='Small Dist Weight'!$Z$10,E19&lt;'Small Dist Weight'!$X$10),1-'Small Dist Weight'!$AA$10+('Small Dist Weight'!$AA$11-(E19*'Small Dist Weight'!$AB$10)),IF(AND(E19&lt;'Small Dist Weight'!$Z$11,E19&lt;'Small Dist Weight'!$X$11),1+'Small Dist Weight'!$AA$10+('Small Dist Weight'!$AA$11-(E19*'Small Dist Weight'!$AB$11)),0)))</f>
        <v>1.2945824220224122</v>
      </c>
      <c r="H19" s="173">
        <f t="shared" si="1"/>
        <v>86.481227303732481</v>
      </c>
      <c r="I19" s="177">
        <f t="shared" si="2"/>
        <v>46.625907378064085</v>
      </c>
      <c r="J19">
        <f>IF(settings!$D$4=0,'Remote School Building Weight'!H19,'Remote School Building Weight'!I19)</f>
        <v>46.625907378064085</v>
      </c>
      <c r="K19">
        <f>IF(settings!$L$4=0,'Remote School Building Weight'!J19,0)</f>
        <v>46.625907378064085</v>
      </c>
      <c r="M19">
        <v>72</v>
      </c>
      <c r="N19" t="s">
        <v>29</v>
      </c>
      <c r="O19">
        <f t="shared" si="3"/>
        <v>0</v>
      </c>
      <c r="P19">
        <f>SUMIF($A$2:$A$46,M19,($E$2:$E$46))*'Front page'!$E$14</f>
        <v>0</v>
      </c>
      <c r="Q19">
        <f t="shared" si="0"/>
        <v>0</v>
      </c>
      <c r="R19">
        <f t="shared" si="4"/>
        <v>0</v>
      </c>
      <c r="S19" s="86"/>
    </row>
    <row r="20" spans="1:19">
      <c r="A20" s="81">
        <v>151</v>
      </c>
      <c r="B20" t="s">
        <v>391</v>
      </c>
      <c r="C20" s="81">
        <v>468</v>
      </c>
      <c r="D20" t="s">
        <v>394</v>
      </c>
      <c r="E20" s="25">
        <v>9.3673882821711985</v>
      </c>
      <c r="F20" s="170">
        <f>IF(E20&lt;='Small Dist Weight'!$AA$5,1+'Small Dist Weight'!$Y$5,IF(E20&gt;0,1+('Small Dist Weight'!$Y$5-(E20*('Small Dist Weight'!$Y$5/'Small Dist Weight'!$X$5))),""))</f>
        <v>2.0499999999999998</v>
      </c>
      <c r="G20" s="175">
        <f>IF(E20&lt;='Small Dist Weight'!$AA$5,1+'Small Dist Weight'!$Y$10,IF(AND(E20&gt;='Small Dist Weight'!$Z$10,E20&lt;'Small Dist Weight'!$X$10),1-'Small Dist Weight'!$AA$10+('Small Dist Weight'!$AA$11-(E20*'Small Dist Weight'!$AB$10)),IF(AND(E20&lt;'Small Dist Weight'!$Z$11,E20&lt;'Small Dist Weight'!$X$11),1+'Small Dist Weight'!$AA$10+('Small Dist Weight'!$AA$11-(E20*'Small Dist Weight'!$AB$11)),0)))</f>
        <v>2.0499999999999998</v>
      </c>
      <c r="H20" s="173">
        <f t="shared" si="1"/>
        <v>9.8357576962797566</v>
      </c>
      <c r="I20" s="177">
        <f t="shared" si="2"/>
        <v>9.8357576962797566</v>
      </c>
      <c r="J20">
        <f>IF(settings!$D$4=0,'Remote School Building Weight'!H20,'Remote School Building Weight'!I20)</f>
        <v>9.8357576962797566</v>
      </c>
      <c r="K20">
        <f>IF(settings!$L$4=0,'Remote School Building Weight'!J20,0)</f>
        <v>9.8357576962797566</v>
      </c>
      <c r="M20">
        <v>73</v>
      </c>
      <c r="N20" t="s">
        <v>30</v>
      </c>
      <c r="O20">
        <f t="shared" si="3"/>
        <v>0</v>
      </c>
      <c r="P20">
        <f>SUMIF($A$2:$A$46,M20,($E$2:$E$46))*'Front page'!$E$14</f>
        <v>0</v>
      </c>
      <c r="Q20">
        <f t="shared" si="0"/>
        <v>0</v>
      </c>
      <c r="R20">
        <f t="shared" si="4"/>
        <v>0</v>
      </c>
      <c r="S20" s="86"/>
    </row>
    <row r="21" spans="1:19">
      <c r="A21" s="81">
        <v>151</v>
      </c>
      <c r="B21" t="s">
        <v>391</v>
      </c>
      <c r="C21" s="81">
        <v>471</v>
      </c>
      <c r="D21" t="s">
        <v>395</v>
      </c>
      <c r="E21" s="25">
        <v>175.87132751288206</v>
      </c>
      <c r="F21" s="170">
        <f>IF(E21&lt;='Small Dist Weight'!$AA$5,1+'Small Dist Weight'!$Y$5,IF(E21&gt;0,1+('Small Dist Weight'!$Y$5-(E21*('Small Dist Weight'!$Y$5/'Small Dist Weight'!$X$5))),""))</f>
        <v>1.4904094124590115</v>
      </c>
      <c r="G21" s="175">
        <f>IF(E21&lt;='Small Dist Weight'!$AA$5,1+'Small Dist Weight'!$Y$10,IF(AND(E21&gt;='Small Dist Weight'!$Z$10,E21&lt;'Small Dist Weight'!$X$10),1-'Small Dist Weight'!$AA$10+('Small Dist Weight'!$AA$11-(E21*'Small Dist Weight'!$AB$10)),IF(AND(E21&lt;'Small Dist Weight'!$Z$11,E21&lt;'Small Dist Weight'!$X$11),1+'Small Dist Weight'!$AA$10+('Small Dist Weight'!$AA$11-(E21*'Small Dist Weight'!$AB$11)),0)))</f>
        <v>1.245204706229506</v>
      </c>
      <c r="H21" s="173">
        <f t="shared" si="1"/>
        <v>86.248954393978877</v>
      </c>
      <c r="I21" s="177">
        <f t="shared" si="2"/>
        <v>43.124477196989474</v>
      </c>
      <c r="J21">
        <f>IF(settings!$D$4=0,'Remote School Building Weight'!H21,'Remote School Building Weight'!I21)</f>
        <v>43.124477196989474</v>
      </c>
      <c r="K21">
        <f>IF(settings!$L$4=0,'Remote School Building Weight'!J21,0)</f>
        <v>43.124477196989474</v>
      </c>
      <c r="M21">
        <v>83</v>
      </c>
      <c r="N21" t="s">
        <v>31</v>
      </c>
      <c r="O21">
        <f t="shared" si="3"/>
        <v>36.94995351605391</v>
      </c>
      <c r="P21">
        <f>SUMIF($A$2:$A$46,M21,($E$2:$E$46))*'Front page'!$E$14</f>
        <v>0</v>
      </c>
      <c r="Q21">
        <f t="shared" si="0"/>
        <v>43.984055126138614</v>
      </c>
      <c r="R21">
        <f t="shared" si="4"/>
        <v>80.934008642192524</v>
      </c>
      <c r="S21" s="86">
        <v>0.45654421591062966</v>
      </c>
    </row>
    <row r="22" spans="1:19">
      <c r="A22" s="81">
        <v>151</v>
      </c>
      <c r="B22" t="s">
        <v>391</v>
      </c>
      <c r="C22" s="81">
        <v>473</v>
      </c>
      <c r="D22" t="s">
        <v>396</v>
      </c>
      <c r="E22" s="25">
        <v>201.49155545419848</v>
      </c>
      <c r="F22" s="170">
        <f>IF(E22&lt;='Small Dist Weight'!$AA$5,1+'Small Dist Weight'!$Y$5,IF(E22&gt;0,1+('Small Dist Weight'!$Y$5-(E22*('Small Dist Weight'!$Y$5/'Small Dist Weight'!$X$5))),""))</f>
        <v>1.4088905053730048</v>
      </c>
      <c r="G22" s="175">
        <f>IF(E22&lt;='Small Dist Weight'!$AA$5,1+'Small Dist Weight'!$Y$10,IF(AND(E22&gt;='Small Dist Weight'!$Z$10,E22&lt;'Small Dist Weight'!$X$10),1-'Small Dist Weight'!$AA$10+('Small Dist Weight'!$AA$11-(E22*'Small Dist Weight'!$AB$10)),IF(AND(E22&lt;'Small Dist Weight'!$Z$11,E22&lt;'Small Dist Weight'!$X$11),1+'Small Dist Weight'!$AA$10+('Small Dist Weight'!$AA$11-(E22*'Small Dist Weight'!$AB$11)),0)))</f>
        <v>1.2044452526865026</v>
      </c>
      <c r="H22" s="173">
        <f t="shared" si="1"/>
        <v>82.387983938060032</v>
      </c>
      <c r="I22" s="177">
        <f t="shared" si="2"/>
        <v>41.193991969030058</v>
      </c>
      <c r="J22">
        <f>IF(settings!$D$4=0,'Remote School Building Weight'!H22,'Remote School Building Weight'!I22)</f>
        <v>41.193991969030058</v>
      </c>
      <c r="K22">
        <f>IF(settings!$L$4=0,'Remote School Building Weight'!J22,0)</f>
        <v>41.193991969030058</v>
      </c>
      <c r="M22">
        <v>84</v>
      </c>
      <c r="N22" t="s">
        <v>32</v>
      </c>
      <c r="O22">
        <f t="shared" si="3"/>
        <v>114.88991732732602</v>
      </c>
      <c r="P22">
        <f>SUMIF($A$2:$A$46,M22,($E$2:$E$46))*'Front page'!$E$14</f>
        <v>0</v>
      </c>
      <c r="Q22">
        <f t="shared" si="0"/>
        <v>210.67812500000048</v>
      </c>
      <c r="R22">
        <f t="shared" si="4"/>
        <v>325.56804232732651</v>
      </c>
      <c r="S22" s="86">
        <v>0.3528906477000453</v>
      </c>
    </row>
    <row r="23" spans="1:19">
      <c r="A23" s="81">
        <v>151</v>
      </c>
      <c r="B23" t="s">
        <v>391</v>
      </c>
      <c r="C23" s="81">
        <v>475</v>
      </c>
      <c r="D23" t="s">
        <v>397</v>
      </c>
      <c r="E23" s="25">
        <v>50.369230769230803</v>
      </c>
      <c r="F23" s="170">
        <f>IF(E23&lt;='Small Dist Weight'!$AA$5,1+'Small Dist Weight'!$Y$5,IF(E23&gt;0,1+('Small Dist Weight'!$Y$5-(E23*('Small Dist Weight'!$Y$5/'Small Dist Weight'!$X$5))),""))</f>
        <v>1.8897342657342657</v>
      </c>
      <c r="G23" s="175">
        <f>IF(E23&lt;='Small Dist Weight'!$AA$5,1+'Small Dist Weight'!$Y$10,IF(AND(E23&gt;='Small Dist Weight'!$Z$10,E23&lt;'Small Dist Weight'!$X$10),1-'Small Dist Weight'!$AA$10+('Small Dist Weight'!$AA$11-(E23*'Small Dist Weight'!$AB$10)),IF(AND(E23&lt;'Small Dist Weight'!$Z$11,E23&lt;'Small Dist Weight'!$X$11),1+'Small Dist Weight'!$AA$10+('Small Dist Weight'!$AA$11-(E23*'Small Dist Weight'!$AB$11)),0)))</f>
        <v>1.8096013986013983</v>
      </c>
      <c r="H23" s="173">
        <f t="shared" si="1"/>
        <v>44.815230554061351</v>
      </c>
      <c r="I23" s="177">
        <f t="shared" si="2"/>
        <v>40.778999677245849</v>
      </c>
      <c r="J23">
        <f>IF(settings!$D$4=0,'Remote School Building Weight'!H23,'Remote School Building Weight'!I23)</f>
        <v>40.778999677245849</v>
      </c>
      <c r="K23">
        <f>IF(settings!$L$4=0,'Remote School Building Weight'!J23,0)</f>
        <v>40.778999677245849</v>
      </c>
      <c r="M23">
        <v>91</v>
      </c>
      <c r="N23" t="s">
        <v>33</v>
      </c>
      <c r="O23">
        <f t="shared" si="3"/>
        <v>0</v>
      </c>
      <c r="P23">
        <f>SUMIF($A$2:$A$46,M23,($E$2:$E$46))*'Front page'!$E$14</f>
        <v>0</v>
      </c>
      <c r="Q23">
        <f t="shared" si="0"/>
        <v>0</v>
      </c>
      <c r="R23">
        <f t="shared" si="4"/>
        <v>0</v>
      </c>
      <c r="S23" s="86"/>
    </row>
    <row r="24" spans="1:19">
      <c r="A24" s="81">
        <v>171</v>
      </c>
      <c r="B24" t="s">
        <v>398</v>
      </c>
      <c r="C24" s="81">
        <v>87</v>
      </c>
      <c r="D24" t="s">
        <v>399</v>
      </c>
      <c r="E24" s="25">
        <v>120.2358620689653</v>
      </c>
      <c r="F24" s="170">
        <f>IF(E24&lt;='Small Dist Weight'!$AA$5,1+'Small Dist Weight'!$Y$5,IF(E24&gt;0,1+('Small Dist Weight'!$Y$5-(E24*('Small Dist Weight'!$Y$5/'Small Dist Weight'!$X$5))),""))</f>
        <v>1.6674313479623832</v>
      </c>
      <c r="G24" s="175">
        <f>IF(E24&lt;='Small Dist Weight'!$AA$5,1+'Small Dist Weight'!$Y$10,IF(AND(E24&gt;='Small Dist Weight'!$Z$10,E24&lt;'Small Dist Weight'!$X$10),1-'Small Dist Weight'!$AA$10+('Small Dist Weight'!$AA$11-(E24*'Small Dist Weight'!$AB$10)),IF(AND(E24&lt;'Small Dist Weight'!$Z$11,E24&lt;'Small Dist Weight'!$X$11),1+'Small Dist Weight'!$AA$10+('Small Dist Weight'!$AA$11-(E24*'Small Dist Weight'!$AB$11)),0)))</f>
        <v>1.4761470219435746</v>
      </c>
      <c r="H24" s="173">
        <f t="shared" si="1"/>
        <v>80.249183494108692</v>
      </c>
      <c r="I24" s="177">
        <f t="shared" si="2"/>
        <v>57.24994765495623</v>
      </c>
      <c r="J24">
        <f>IF(settings!$D$4=0,'Remote School Building Weight'!H24,'Remote School Building Weight'!I24)</f>
        <v>57.24994765495623</v>
      </c>
      <c r="K24">
        <f>IF(settings!$L$4=0,'Remote School Building Weight'!J24,0)</f>
        <v>57.24994765495623</v>
      </c>
      <c r="M24">
        <v>92</v>
      </c>
      <c r="N24" t="s">
        <v>34</v>
      </c>
      <c r="O24">
        <f t="shared" si="3"/>
        <v>0</v>
      </c>
      <c r="P24">
        <f>SUMIF($A$2:$A$46,M24,($E$2:$E$46))*'Front page'!$E$14</f>
        <v>0</v>
      </c>
      <c r="Q24">
        <f t="shared" si="0"/>
        <v>0</v>
      </c>
      <c r="R24">
        <f t="shared" si="4"/>
        <v>0</v>
      </c>
      <c r="S24" s="86"/>
    </row>
    <row r="25" spans="1:19">
      <c r="A25" s="81">
        <v>171</v>
      </c>
      <c r="B25" t="s">
        <v>398</v>
      </c>
      <c r="C25" s="81">
        <v>481</v>
      </c>
      <c r="D25" t="s">
        <v>400</v>
      </c>
      <c r="E25" s="25">
        <v>23.407142857142837</v>
      </c>
      <c r="F25" s="170">
        <f>IF(E25&lt;='Small Dist Weight'!$AA$5,1+'Small Dist Weight'!$Y$5,IF(E25&gt;0,1+('Small Dist Weight'!$Y$5-(E25*('Small Dist Weight'!$Y$5/'Small Dist Weight'!$X$5))),""))</f>
        <v>2.0499999999999998</v>
      </c>
      <c r="G25" s="175">
        <f>IF(E25&lt;='Small Dist Weight'!$AA$5,1+'Small Dist Weight'!$Y$10,IF(AND(E25&gt;='Small Dist Weight'!$Z$10,E25&lt;'Small Dist Weight'!$X$10),1-'Small Dist Weight'!$AA$10+('Small Dist Weight'!$AA$11-(E25*'Small Dist Weight'!$AB$10)),IF(AND(E25&lt;'Small Dist Weight'!$Z$11,E25&lt;'Small Dist Weight'!$X$11),1+'Small Dist Weight'!$AA$10+('Small Dist Weight'!$AA$11-(E25*'Small Dist Weight'!$AB$11)),0)))</f>
        <v>2.0499999999999998</v>
      </c>
      <c r="H25" s="173">
        <f t="shared" si="1"/>
        <v>24.577499999999976</v>
      </c>
      <c r="I25" s="177">
        <f t="shared" si="2"/>
        <v>24.577499999999976</v>
      </c>
      <c r="J25">
        <f>IF(settings!$D$4=0,'Remote School Building Weight'!H25,'Remote School Building Weight'!I25)</f>
        <v>24.577499999999976</v>
      </c>
      <c r="K25">
        <f>IF(settings!$L$4=0,'Remote School Building Weight'!J25,0)</f>
        <v>24.577499999999976</v>
      </c>
      <c r="M25">
        <v>93</v>
      </c>
      <c r="N25" t="s">
        <v>35</v>
      </c>
      <c r="O25">
        <f t="shared" si="3"/>
        <v>0</v>
      </c>
      <c r="P25">
        <f>SUMIF($A$2:$A$46,M25,($E$2:$E$46))*'Front page'!$E$14</f>
        <v>0</v>
      </c>
      <c r="Q25">
        <f t="shared" si="0"/>
        <v>0</v>
      </c>
      <c r="R25">
        <f t="shared" si="4"/>
        <v>0</v>
      </c>
      <c r="S25" s="86"/>
    </row>
    <row r="26" spans="1:19">
      <c r="A26" s="81">
        <v>171</v>
      </c>
      <c r="B26" t="s">
        <v>398</v>
      </c>
      <c r="C26" s="81">
        <v>482</v>
      </c>
      <c r="D26" t="s">
        <v>401</v>
      </c>
      <c r="E26" s="25">
        <v>14.116666666666621</v>
      </c>
      <c r="F26" s="170">
        <f>IF(E26&lt;='Small Dist Weight'!$AA$5,1+'Small Dist Weight'!$Y$5,IF(E26&gt;0,1+('Small Dist Weight'!$Y$5-(E26*('Small Dist Weight'!$Y$5/'Small Dist Weight'!$X$5))),""))</f>
        <v>2.0499999999999998</v>
      </c>
      <c r="G26" s="175">
        <f>IF(E26&lt;='Small Dist Weight'!$AA$5,1+'Small Dist Weight'!$Y$10,IF(AND(E26&gt;='Small Dist Weight'!$Z$10,E26&lt;'Small Dist Weight'!$X$10),1-'Small Dist Weight'!$AA$10+('Small Dist Weight'!$AA$11-(E26*'Small Dist Weight'!$AB$10)),IF(AND(E26&lt;'Small Dist Weight'!$Z$11,E26&lt;'Small Dist Weight'!$X$11),1+'Small Dist Weight'!$AA$10+('Small Dist Weight'!$AA$11-(E26*'Small Dist Weight'!$AB$11)),0)))</f>
        <v>2.0499999999999998</v>
      </c>
      <c r="H26" s="173">
        <f t="shared" si="1"/>
        <v>14.82249999999995</v>
      </c>
      <c r="I26" s="177">
        <f t="shared" si="2"/>
        <v>14.82249999999995</v>
      </c>
      <c r="J26">
        <f>IF(settings!$D$4=0,'Remote School Building Weight'!H26,'Remote School Building Weight'!I26)</f>
        <v>14.82249999999995</v>
      </c>
      <c r="K26">
        <f>IF(settings!$L$4=0,'Remote School Building Weight'!J26,0)</f>
        <v>14.82249999999995</v>
      </c>
      <c r="M26">
        <v>101</v>
      </c>
      <c r="N26" t="s">
        <v>36</v>
      </c>
      <c r="O26">
        <f t="shared" si="3"/>
        <v>53.621708637958193</v>
      </c>
      <c r="P26">
        <f>SUMIF($A$2:$A$46,M26,($E$2:$E$46))*'Front page'!$E$14</f>
        <v>0</v>
      </c>
      <c r="Q26">
        <f t="shared" si="0"/>
        <v>139.410462985122</v>
      </c>
      <c r="R26">
        <f t="shared" si="4"/>
        <v>193.03217162308019</v>
      </c>
      <c r="S26" s="86">
        <v>0.27778638237910613</v>
      </c>
    </row>
    <row r="27" spans="1:19">
      <c r="A27" s="81">
        <v>171</v>
      </c>
      <c r="B27" t="s">
        <v>398</v>
      </c>
      <c r="C27" s="81">
        <v>2520</v>
      </c>
      <c r="D27" t="s">
        <v>402</v>
      </c>
      <c r="E27" s="25">
        <v>94.130689655172446</v>
      </c>
      <c r="F27" s="170">
        <f>IF(E27&lt;='Small Dist Weight'!$AA$5,1+'Small Dist Weight'!$Y$5,IF(E27&gt;0,1+('Small Dist Weight'!$Y$5-(E27*('Small Dist Weight'!$Y$5/'Small Dist Weight'!$X$5))),""))</f>
        <v>1.7504932601880876</v>
      </c>
      <c r="G27" s="175">
        <f>IF(E27&lt;='Small Dist Weight'!$AA$5,1+'Small Dist Weight'!$Y$10,IF(AND(E27&gt;='Small Dist Weight'!$Z$10,E27&lt;'Small Dist Weight'!$X$10),1-'Small Dist Weight'!$AA$10+('Small Dist Weight'!$AA$11-(E27*'Small Dist Weight'!$AB$10)),IF(AND(E27&lt;'Small Dist Weight'!$Z$11,E27&lt;'Small Dist Weight'!$X$11),1+'Small Dist Weight'!$AA$10+('Small Dist Weight'!$AA$11-(E27*'Small Dist Weight'!$AB$11)),0)))</f>
        <v>1.6007398902821315</v>
      </c>
      <c r="H27" s="173">
        <f t="shared" si="1"/>
        <v>70.644448163063458</v>
      </c>
      <c r="I27" s="177">
        <f t="shared" si="2"/>
        <v>56.548060175629665</v>
      </c>
      <c r="J27">
        <f>IF(settings!$D$4=0,'Remote School Building Weight'!H27,'Remote School Building Weight'!I27)</f>
        <v>56.548060175629665</v>
      </c>
      <c r="K27">
        <f>IF(settings!$L$4=0,'Remote School Building Weight'!J27,0)</f>
        <v>56.548060175629665</v>
      </c>
      <c r="M27">
        <v>111</v>
      </c>
      <c r="N27" t="s">
        <v>37</v>
      </c>
      <c r="O27">
        <f t="shared" si="3"/>
        <v>30.746165444219024</v>
      </c>
      <c r="P27">
        <f>SUMIF($A$2:$A$46,M27,($E$2:$E$46))*'Front page'!$E$14</f>
        <v>0</v>
      </c>
      <c r="Q27">
        <f t="shared" si="0"/>
        <v>29.282062327827646</v>
      </c>
      <c r="R27">
        <f t="shared" si="4"/>
        <v>60.028227772046669</v>
      </c>
      <c r="S27" s="86">
        <v>0.51219512195121952</v>
      </c>
    </row>
    <row r="28" spans="1:19">
      <c r="A28" s="81">
        <v>181</v>
      </c>
      <c r="B28" t="s">
        <v>403</v>
      </c>
      <c r="C28" s="81">
        <v>486</v>
      </c>
      <c r="D28" t="s">
        <v>404</v>
      </c>
      <c r="E28" s="25">
        <v>10.724425491481485</v>
      </c>
      <c r="F28" s="170">
        <f>IF(E28&lt;='Small Dist Weight'!$AA$5,1+'Small Dist Weight'!$Y$5,IF(E28&gt;0,1+('Small Dist Weight'!$Y$5-(E28*('Small Dist Weight'!$Y$5/'Small Dist Weight'!$X$5))),""))</f>
        <v>2.0499999999999998</v>
      </c>
      <c r="G28" s="175">
        <f>IF(E28&lt;='Small Dist Weight'!$AA$5,1+'Small Dist Weight'!$Y$10,IF(AND(E28&gt;='Small Dist Weight'!$Z$10,E28&lt;'Small Dist Weight'!$X$10),1-'Small Dist Weight'!$AA$10+('Small Dist Weight'!$AA$11-(E28*'Small Dist Weight'!$AB$10)),IF(AND(E28&lt;'Small Dist Weight'!$Z$11,E28&lt;'Small Dist Weight'!$X$11),1+'Small Dist Weight'!$AA$10+('Small Dist Weight'!$AA$11-(E28*'Small Dist Weight'!$AB$11)),0)))</f>
        <v>2.0499999999999998</v>
      </c>
      <c r="H28" s="173">
        <f t="shared" si="1"/>
        <v>11.260646766055558</v>
      </c>
      <c r="I28" s="177">
        <f t="shared" si="2"/>
        <v>11.260646766055558</v>
      </c>
      <c r="J28">
        <f>IF(settings!$D$4=0,'Remote School Building Weight'!H28,'Remote School Building Weight'!I28)</f>
        <v>11.260646766055558</v>
      </c>
      <c r="K28">
        <f>IF(settings!$L$4=0,'Remote School Building Weight'!J28,0)</f>
        <v>11.260646766055558</v>
      </c>
      <c r="M28">
        <v>121</v>
      </c>
      <c r="N28" t="s">
        <v>38</v>
      </c>
      <c r="O28">
        <f t="shared" si="3"/>
        <v>0</v>
      </c>
      <c r="P28">
        <f>SUMIF($A$2:$A$46,M28,($E$2:$E$46))*'Front page'!$E$14</f>
        <v>0</v>
      </c>
      <c r="Q28">
        <f t="shared" si="0"/>
        <v>0</v>
      </c>
      <c r="R28">
        <f t="shared" si="4"/>
        <v>0</v>
      </c>
      <c r="S28" s="86"/>
    </row>
    <row r="29" spans="1:19">
      <c r="A29" s="81">
        <v>181</v>
      </c>
      <c r="B29" t="s">
        <v>403</v>
      </c>
      <c r="C29" s="81">
        <v>487</v>
      </c>
      <c r="D29" t="s">
        <v>405</v>
      </c>
      <c r="E29" s="25" t="e">
        <v>#N/A</v>
      </c>
      <c r="F29" s="170"/>
      <c r="G29" s="175"/>
      <c r="H29" s="173"/>
      <c r="I29" s="177"/>
      <c r="J29">
        <f>IF(settings!$D$4=0,'Remote School Building Weight'!H29,'Remote School Building Weight'!I29)</f>
        <v>0</v>
      </c>
      <c r="K29">
        <f>IF(settings!$L$4=0,'Remote School Building Weight'!J29,0)</f>
        <v>0</v>
      </c>
      <c r="M29">
        <v>131</v>
      </c>
      <c r="N29" t="s">
        <v>39</v>
      </c>
      <c r="O29">
        <f t="shared" si="3"/>
        <v>0</v>
      </c>
      <c r="P29">
        <f>SUMIF($A$2:$A$46,M29,($E$2:$E$46))*'Front page'!$E$14</f>
        <v>0</v>
      </c>
      <c r="Q29">
        <f t="shared" si="0"/>
        <v>0</v>
      </c>
      <c r="R29">
        <f t="shared" si="4"/>
        <v>0</v>
      </c>
      <c r="S29" s="86"/>
    </row>
    <row r="30" spans="1:19">
      <c r="A30" s="81">
        <v>193</v>
      </c>
      <c r="B30" t="s">
        <v>406</v>
      </c>
      <c r="C30" s="81">
        <v>517</v>
      </c>
      <c r="D30" t="s">
        <v>407</v>
      </c>
      <c r="E30" s="25">
        <v>3.4727449988276113</v>
      </c>
      <c r="F30" s="170">
        <f>IF(E30&lt;='Small Dist Weight'!$AA$5,1+'Small Dist Weight'!$Y$5,IF(E30&gt;0,1+('Small Dist Weight'!$Y$5-(E30*('Small Dist Weight'!$Y$5/'Small Dist Weight'!$X$5))),""))</f>
        <v>2.0499999999999998</v>
      </c>
      <c r="G30" s="175">
        <f>IF(E30&lt;='Small Dist Weight'!$AA$5,1+'Small Dist Weight'!$Y$10,IF(AND(E30&gt;='Small Dist Weight'!$Z$10,E30&lt;'Small Dist Weight'!$X$10),1-'Small Dist Weight'!$AA$10+('Small Dist Weight'!$AA$11-(E30*'Small Dist Weight'!$AB$10)),IF(AND(E30&lt;'Small Dist Weight'!$Z$11,E30&lt;'Small Dist Weight'!$X$11),1+'Small Dist Weight'!$AA$10+('Small Dist Weight'!$AA$11-(E30*'Small Dist Weight'!$AB$11)),0)))</f>
        <v>2.0499999999999998</v>
      </c>
      <c r="H30" s="173">
        <f>IF(F30&lt;1,0,$E30*(F30-1))</f>
        <v>3.6463822487689912</v>
      </c>
      <c r="I30" s="177">
        <f t="shared" si="2"/>
        <v>3.6463822487689912</v>
      </c>
      <c r="J30">
        <f>IF(settings!$D$4=0,'Remote School Building Weight'!H30,'Remote School Building Weight'!I30)</f>
        <v>3.6463822487689912</v>
      </c>
      <c r="K30">
        <f>IF(settings!$L$4=0,'Remote School Building Weight'!J30,0)</f>
        <v>3.6463822487689912</v>
      </c>
      <c r="M30">
        <v>132</v>
      </c>
      <c r="N30" t="s">
        <v>40</v>
      </c>
      <c r="O30">
        <f t="shared" si="3"/>
        <v>0</v>
      </c>
      <c r="P30">
        <f>SUMIF($A$2:$A$46,M30,($E$2:$E$46))*'Front page'!$E$14</f>
        <v>0</v>
      </c>
      <c r="Q30">
        <f t="shared" si="0"/>
        <v>0</v>
      </c>
      <c r="R30">
        <f t="shared" si="4"/>
        <v>0</v>
      </c>
      <c r="S30" s="86"/>
    </row>
    <row r="31" spans="1:19">
      <c r="A31" s="81">
        <v>215</v>
      </c>
      <c r="B31" t="s">
        <v>408</v>
      </c>
      <c r="C31" s="81">
        <v>100</v>
      </c>
      <c r="D31" t="s">
        <v>409</v>
      </c>
      <c r="E31" s="25">
        <v>319.60695266272188</v>
      </c>
      <c r="F31" s="170">
        <f>IF(E31&lt;='Small Dist Weight'!$AA$5,1+'Small Dist Weight'!$Y$5,IF(E31&gt;0,1+('Small Dist Weight'!$Y$5-(E31*('Small Dist Weight'!$Y$5/'Small Dist Weight'!$X$5))),""))</f>
        <v>1.0330687869822486</v>
      </c>
      <c r="G31" s="175">
        <f>IF(E31&lt;='Small Dist Weight'!$AA$5,1+'Small Dist Weight'!$Y$10,IF(AND(E31&gt;='Small Dist Weight'!$Z$10,E31&lt;'Small Dist Weight'!$X$10),1-'Small Dist Weight'!$AA$10+('Small Dist Weight'!$AA$11-(E31*'Small Dist Weight'!$AB$10)),IF(AND(E31&lt;'Small Dist Weight'!$Z$11,E31&lt;'Small Dist Weight'!$X$11),1+'Small Dist Weight'!$AA$10+('Small Dist Weight'!$AA$11-(E31*'Small Dist Weight'!$AB$11)),0)))</f>
        <v>1.0165343934911244</v>
      </c>
      <c r="H31" s="173">
        <f t="shared" si="1"/>
        <v>10.569014235649155</v>
      </c>
      <c r="I31" s="177">
        <f t="shared" si="2"/>
        <v>5.2845071178246128</v>
      </c>
      <c r="J31">
        <f>IF(settings!$D$4=0,'Remote School Building Weight'!H31,'Remote School Building Weight'!I31)</f>
        <v>5.2845071178246128</v>
      </c>
      <c r="K31">
        <f>IF(settings!$L$4=0,'Remote School Building Weight'!J31,0)</f>
        <v>5.2845071178246128</v>
      </c>
      <c r="M31">
        <v>133</v>
      </c>
      <c r="N31" t="s">
        <v>41</v>
      </c>
      <c r="O31">
        <f t="shared" si="3"/>
        <v>0</v>
      </c>
      <c r="P31">
        <f>SUMIF($A$2:$A$46,M31,($E$2:$E$46))*'Front page'!$E$14</f>
        <v>0</v>
      </c>
      <c r="Q31">
        <f t="shared" si="0"/>
        <v>0</v>
      </c>
      <c r="R31">
        <f t="shared" si="4"/>
        <v>0</v>
      </c>
      <c r="S31" s="86"/>
    </row>
    <row r="32" spans="1:19">
      <c r="A32" s="81">
        <v>215</v>
      </c>
      <c r="B32" t="s">
        <v>408</v>
      </c>
      <c r="C32" s="81">
        <v>701</v>
      </c>
      <c r="D32" t="s">
        <v>410</v>
      </c>
      <c r="E32" s="25">
        <v>260.58448196848411</v>
      </c>
      <c r="F32" s="170">
        <f>IF(E32&lt;='Small Dist Weight'!$AA$5,1+'Small Dist Weight'!$Y$5,IF(E32&gt;0,1+('Small Dist Weight'!$Y$5-(E32*('Small Dist Weight'!$Y$5/'Small Dist Weight'!$X$5))),""))</f>
        <v>1.2208675573730052</v>
      </c>
      <c r="G32" s="175">
        <f>IF(E32&lt;='Small Dist Weight'!$AA$5,1+'Small Dist Weight'!$Y$10,IF(AND(E32&gt;='Small Dist Weight'!$Z$10,E32&lt;'Small Dist Weight'!$X$10),1-'Small Dist Weight'!$AA$10+('Small Dist Weight'!$AA$11-(E32*'Small Dist Weight'!$AB$10)),IF(AND(E32&lt;'Small Dist Weight'!$Z$11,E32&lt;'Small Dist Weight'!$X$11),1+'Small Dist Weight'!$AA$10+('Small Dist Weight'!$AA$11-(E32*'Small Dist Weight'!$AB$11)),0)))</f>
        <v>1.1104337786865026</v>
      </c>
      <c r="H32" s="173">
        <f t="shared" si="1"/>
        <v>57.554658021689015</v>
      </c>
      <c r="I32" s="177">
        <f t="shared" si="2"/>
        <v>28.777329010844507</v>
      </c>
      <c r="J32">
        <f>IF(settings!$D$4=0,'Remote School Building Weight'!H32,'Remote School Building Weight'!I32)</f>
        <v>28.777329010844507</v>
      </c>
      <c r="K32">
        <f>IF(settings!$L$4=0,'Remote School Building Weight'!J32,0)</f>
        <v>28.777329010844507</v>
      </c>
      <c r="M32">
        <v>134</v>
      </c>
      <c r="N32" t="s">
        <v>42</v>
      </c>
      <c r="O32">
        <f t="shared" si="3"/>
        <v>0</v>
      </c>
      <c r="P32">
        <f>SUMIF($A$2:$A$46,M32,($E$2:$E$46))*'Front page'!$E$14</f>
        <v>0</v>
      </c>
      <c r="Q32">
        <f t="shared" si="0"/>
        <v>0</v>
      </c>
      <c r="R32">
        <f t="shared" si="4"/>
        <v>0</v>
      </c>
      <c r="S32" s="86"/>
    </row>
    <row r="33" spans="1:19">
      <c r="A33" s="81">
        <v>221</v>
      </c>
      <c r="B33" t="s">
        <v>411</v>
      </c>
      <c r="C33" s="81">
        <v>707</v>
      </c>
      <c r="D33" t="s">
        <v>412</v>
      </c>
      <c r="E33" s="25">
        <v>39.581831498821714</v>
      </c>
      <c r="F33" s="170">
        <f>IF(E33&lt;='Small Dist Weight'!$AA$5,1+'Small Dist Weight'!$Y$5,IF(E33&gt;0,1+('Small Dist Weight'!$Y$5-(E33*('Small Dist Weight'!$Y$5/'Small Dist Weight'!$X$5))),""))</f>
        <v>1.9240578088673854</v>
      </c>
      <c r="G33" s="175">
        <f>IF(E33&lt;='Small Dist Weight'!$AA$5,1+'Small Dist Weight'!$Y$10,IF(AND(E33&gt;='Small Dist Weight'!$Z$10,E33&lt;'Small Dist Weight'!$X$10),1-'Small Dist Weight'!$AA$10+('Small Dist Weight'!$AA$11-(E33*'Small Dist Weight'!$AB$10)),IF(AND(E33&lt;'Small Dist Weight'!$Z$11,E33&lt;'Small Dist Weight'!$X$11),1+'Small Dist Weight'!$AA$10+('Small Dist Weight'!$AA$11-(E33*'Small Dist Weight'!$AB$11)),0)))</f>
        <v>1.8610867133010782</v>
      </c>
      <c r="H33" s="173">
        <f t="shared" si="1"/>
        <v>36.575900485759249</v>
      </c>
      <c r="I33" s="177">
        <f t="shared" si="2"/>
        <v>34.083389191757483</v>
      </c>
      <c r="J33">
        <f>IF(settings!$D$4=0,'Remote School Building Weight'!H33,'Remote School Building Weight'!I33)</f>
        <v>34.083389191757483</v>
      </c>
      <c r="K33">
        <f>IF(settings!$L$4=0,'Remote School Building Weight'!J33,0)</f>
        <v>34.083389191757483</v>
      </c>
      <c r="M33">
        <v>135</v>
      </c>
      <c r="N33" t="s">
        <v>43</v>
      </c>
      <c r="O33">
        <f t="shared" si="3"/>
        <v>0</v>
      </c>
      <c r="P33">
        <f>SUMIF($A$2:$A$46,M33,($E$2:$E$46))*'Front page'!$E$14</f>
        <v>0</v>
      </c>
      <c r="Q33">
        <f t="shared" si="0"/>
        <v>0</v>
      </c>
      <c r="R33">
        <f t="shared" si="4"/>
        <v>0</v>
      </c>
      <c r="S33" s="86"/>
    </row>
    <row r="34" spans="1:19">
      <c r="A34" s="81">
        <v>221</v>
      </c>
      <c r="B34" t="s">
        <v>411</v>
      </c>
      <c r="C34" s="81">
        <v>710</v>
      </c>
      <c r="D34" t="s">
        <v>413</v>
      </c>
      <c r="E34" s="25">
        <v>22.717058823529456</v>
      </c>
      <c r="F34" s="170">
        <f>IF(E34&lt;='Small Dist Weight'!$AA$5,1+'Small Dist Weight'!$Y$5,IF(E34&gt;0,1+('Small Dist Weight'!$Y$5-(E34*('Small Dist Weight'!$Y$5/'Small Dist Weight'!$X$5))),""))</f>
        <v>2.0499999999999998</v>
      </c>
      <c r="G34" s="175">
        <f>IF(E34&lt;='Small Dist Weight'!$AA$5,1+'Small Dist Weight'!$Y$10,IF(AND(E34&gt;='Small Dist Weight'!$Z$10,E34&lt;'Small Dist Weight'!$X$10),1-'Small Dist Weight'!$AA$10+('Small Dist Weight'!$AA$11-(E34*'Small Dist Weight'!$AB$10)),IF(AND(E34&lt;'Small Dist Weight'!$Z$11,E34&lt;'Small Dist Weight'!$X$11),1+'Small Dist Weight'!$AA$10+('Small Dist Weight'!$AA$11-(E34*'Small Dist Weight'!$AB$11)),0)))</f>
        <v>2.0499999999999998</v>
      </c>
      <c r="H34" s="173">
        <f t="shared" si="1"/>
        <v>23.852911764705926</v>
      </c>
      <c r="I34" s="177">
        <f t="shared" si="2"/>
        <v>23.852911764705926</v>
      </c>
      <c r="J34">
        <f>IF(settings!$D$4=0,'Remote School Building Weight'!H34,'Remote School Building Weight'!I34)</f>
        <v>23.852911764705926</v>
      </c>
      <c r="K34">
        <f>IF(settings!$L$4=0,'Remote School Building Weight'!J34,0)</f>
        <v>23.852911764705926</v>
      </c>
      <c r="M34">
        <v>136</v>
      </c>
      <c r="N34" t="s">
        <v>44</v>
      </c>
      <c r="O34">
        <f t="shared" si="3"/>
        <v>0</v>
      </c>
      <c r="P34">
        <f>SUMIF($A$2:$A$46,M34,($E$2:$E$46))*'Front page'!$E$14</f>
        <v>0</v>
      </c>
      <c r="Q34">
        <f t="shared" si="0"/>
        <v>0</v>
      </c>
      <c r="R34">
        <f t="shared" si="4"/>
        <v>0</v>
      </c>
      <c r="S34" s="86"/>
    </row>
    <row r="35" spans="1:19">
      <c r="A35" s="81">
        <v>244</v>
      </c>
      <c r="B35" t="s">
        <v>414</v>
      </c>
      <c r="C35" s="81">
        <v>1283</v>
      </c>
      <c r="D35" t="s">
        <v>415</v>
      </c>
      <c r="E35" s="25">
        <v>188.36430722891566</v>
      </c>
      <c r="F35" s="170">
        <f>IF(E35&lt;='Small Dist Weight'!$AA$5,1+'Small Dist Weight'!$Y$5,IF(E35&gt;0,1+('Small Dist Weight'!$Y$5-(E35*('Small Dist Weight'!$Y$5/'Small Dist Weight'!$X$5))),""))</f>
        <v>1.4506590224534501</v>
      </c>
      <c r="G35" s="175">
        <f>IF(E35&lt;='Small Dist Weight'!$AA$5,1+'Small Dist Weight'!$Y$10,IF(AND(E35&gt;='Small Dist Weight'!$Z$10,E35&lt;'Small Dist Weight'!$X$10),1-'Small Dist Weight'!$AA$10+('Small Dist Weight'!$AA$11-(E35*'Small Dist Weight'!$AB$10)),IF(AND(E35&lt;'Small Dist Weight'!$Z$11,E35&lt;'Small Dist Weight'!$X$11),1+'Small Dist Weight'!$AA$10+('Small Dist Weight'!$AA$11-(E35*'Small Dist Weight'!$AB$11)),0)))</f>
        <v>1.2253295112267253</v>
      </c>
      <c r="H35" s="173">
        <f t="shared" si="1"/>
        <v>84.888074560904485</v>
      </c>
      <c r="I35" s="177">
        <f t="shared" si="2"/>
        <v>42.444037280452285</v>
      </c>
      <c r="J35">
        <f>IF(settings!$D$4=0,'Remote School Building Weight'!H35,'Remote School Building Weight'!I35)</f>
        <v>42.444037280452285</v>
      </c>
      <c r="K35">
        <f>IF(settings!$L$4=0,'Remote School Building Weight'!J35,0)</f>
        <v>42.444037280452285</v>
      </c>
      <c r="M35">
        <v>137</v>
      </c>
      <c r="N35" t="s">
        <v>45</v>
      </c>
      <c r="O35">
        <f t="shared" si="3"/>
        <v>0</v>
      </c>
      <c r="P35">
        <f>SUMIF($A$2:$A$46,M35,($E$2:$E$46))*'Front page'!$E$14</f>
        <v>0</v>
      </c>
      <c r="Q35">
        <f t="shared" si="0"/>
        <v>0</v>
      </c>
      <c r="R35">
        <f t="shared" si="4"/>
        <v>0</v>
      </c>
      <c r="S35" s="86"/>
    </row>
    <row r="36" spans="1:19">
      <c r="A36" s="81">
        <v>244</v>
      </c>
      <c r="B36" t="s">
        <v>414</v>
      </c>
      <c r="C36" s="81">
        <v>1285</v>
      </c>
      <c r="D36" t="s">
        <v>416</v>
      </c>
      <c r="E36" s="25">
        <v>226.30662650602443</v>
      </c>
      <c r="F36" s="170">
        <f>IF(E36&lt;='Small Dist Weight'!$AA$5,1+'Small Dist Weight'!$Y$5,IF(E36&gt;0,1+('Small Dist Weight'!$Y$5-(E36*('Small Dist Weight'!$Y$5/'Small Dist Weight'!$X$5))),""))</f>
        <v>1.3299334611171951</v>
      </c>
      <c r="G36" s="175">
        <f>IF(E36&lt;='Small Dist Weight'!$AA$5,1+'Small Dist Weight'!$Y$10,IF(AND(E36&gt;='Small Dist Weight'!$Z$10,E36&lt;'Small Dist Weight'!$X$10),1-'Small Dist Weight'!$AA$10+('Small Dist Weight'!$AA$11-(E36*'Small Dist Weight'!$AB$10)),IF(AND(E36&lt;'Small Dist Weight'!$Z$11,E36&lt;'Small Dist Weight'!$X$11),1+'Small Dist Weight'!$AA$10+('Small Dist Weight'!$AA$11-(E36*'Small Dist Weight'!$AB$11)),0)))</f>
        <v>1.1649667305585976</v>
      </c>
      <c r="H36" s="173">
        <f t="shared" si="1"/>
        <v>74.666128556889007</v>
      </c>
      <c r="I36" s="177">
        <f t="shared" si="2"/>
        <v>37.333064278444503</v>
      </c>
      <c r="J36">
        <f>IF(settings!$D$4=0,'Remote School Building Weight'!H36,'Remote School Building Weight'!I36)</f>
        <v>37.333064278444503</v>
      </c>
      <c r="K36">
        <f>IF(settings!$L$4=0,'Remote School Building Weight'!J36,0)</f>
        <v>37.333064278444503</v>
      </c>
      <c r="M36">
        <v>139</v>
      </c>
      <c r="N36" t="s">
        <v>46</v>
      </c>
      <c r="O36">
        <f t="shared" si="3"/>
        <v>0</v>
      </c>
      <c r="P36">
        <f>SUMIF($A$2:$A$46,M36,($E$2:$E$46))*'Front page'!$E$14</f>
        <v>0</v>
      </c>
      <c r="Q36">
        <f t="shared" si="0"/>
        <v>0</v>
      </c>
      <c r="R36">
        <f t="shared" si="4"/>
        <v>0</v>
      </c>
      <c r="S36" s="86"/>
    </row>
    <row r="37" spans="1:19">
      <c r="A37" s="81">
        <v>244</v>
      </c>
      <c r="B37" t="s">
        <v>414</v>
      </c>
      <c r="C37" s="81">
        <v>1287</v>
      </c>
      <c r="D37" t="s">
        <v>417</v>
      </c>
      <c r="E37" s="25">
        <v>4.8838815789473635</v>
      </c>
      <c r="F37" s="170">
        <f>IF(E37&lt;='Small Dist Weight'!$AA$5,1+'Small Dist Weight'!$Y$5,IF(E37&gt;0,1+('Small Dist Weight'!$Y$5-(E37*('Small Dist Weight'!$Y$5/'Small Dist Weight'!$X$5))),""))</f>
        <v>2.0499999999999998</v>
      </c>
      <c r="G37" s="175">
        <f>IF(E37&lt;='Small Dist Weight'!$AA$5,1+'Small Dist Weight'!$Y$10,IF(AND(E37&gt;='Small Dist Weight'!$Z$10,E37&lt;'Small Dist Weight'!$X$10),1-'Small Dist Weight'!$AA$10+('Small Dist Weight'!$AA$11-(E37*'Small Dist Weight'!$AB$10)),IF(AND(E37&lt;'Small Dist Weight'!$Z$11,E37&lt;'Small Dist Weight'!$X$11),1+'Small Dist Weight'!$AA$10+('Small Dist Weight'!$AA$11-(E37*'Small Dist Weight'!$AB$11)),0)))</f>
        <v>2.0499999999999998</v>
      </c>
      <c r="H37" s="173">
        <f t="shared" si="1"/>
        <v>5.1280756578947306</v>
      </c>
      <c r="I37" s="177">
        <f t="shared" si="2"/>
        <v>5.1280756578947306</v>
      </c>
      <c r="J37">
        <f>IF(settings!$D$4=0,'Remote School Building Weight'!H37,'Remote School Building Weight'!I37)</f>
        <v>5.1280756578947306</v>
      </c>
      <c r="K37">
        <f>IF(settings!$L$4=0,'Remote School Building Weight'!J37,0)</f>
        <v>5.1280756578947306</v>
      </c>
      <c r="M37">
        <v>148</v>
      </c>
      <c r="N37" t="s">
        <v>47</v>
      </c>
      <c r="O37">
        <f t="shared" si="3"/>
        <v>57.681353595170457</v>
      </c>
      <c r="P37">
        <f>SUMIF($A$2:$A$46,M37,($E$2:$E$46))*'Front page'!$E$14</f>
        <v>0</v>
      </c>
      <c r="Q37">
        <f t="shared" si="0"/>
        <v>106.20750000000001</v>
      </c>
      <c r="R37">
        <f t="shared" si="4"/>
        <v>163.88885359517047</v>
      </c>
      <c r="S37" s="86">
        <v>0.35195409773047692</v>
      </c>
    </row>
    <row r="38" spans="1:19">
      <c r="A38" s="81">
        <v>253</v>
      </c>
      <c r="B38" t="s">
        <v>418</v>
      </c>
      <c r="C38" s="81">
        <v>729</v>
      </c>
      <c r="D38" t="s">
        <v>419</v>
      </c>
      <c r="E38" s="25">
        <v>28.770714041940046</v>
      </c>
      <c r="F38" s="170">
        <f>IF(E38&lt;='Small Dist Weight'!$AA$5,1+'Small Dist Weight'!$Y$5,IF(E38&gt;0,1+('Small Dist Weight'!$Y$5-(E38*('Small Dist Weight'!$Y$5/'Small Dist Weight'!$X$5))),""))</f>
        <v>2.0499999999999998</v>
      </c>
      <c r="G38" s="175">
        <f>IF(E38&lt;='Small Dist Weight'!$AA$5,1+'Small Dist Weight'!$Y$10,IF(AND(E38&gt;='Small Dist Weight'!$Z$10,E38&lt;'Small Dist Weight'!$X$10),1-'Small Dist Weight'!$AA$10+('Small Dist Weight'!$AA$11-(E38*'Small Dist Weight'!$AB$10)),IF(AND(E38&lt;'Small Dist Weight'!$Z$11,E38&lt;'Small Dist Weight'!$X$11),1+'Small Dist Weight'!$AA$10+('Small Dist Weight'!$AA$11-(E38*'Small Dist Weight'!$AB$11)),0)))</f>
        <v>2.0499999999999998</v>
      </c>
      <c r="H38" s="173">
        <f t="shared" si="1"/>
        <v>30.209249744037042</v>
      </c>
      <c r="I38" s="177">
        <f t="shared" si="2"/>
        <v>30.209249744037042</v>
      </c>
      <c r="J38">
        <f>IF(settings!$D$4=0,'Remote School Building Weight'!H38,'Remote School Building Weight'!I38)</f>
        <v>30.209249744037042</v>
      </c>
      <c r="K38">
        <f>IF(settings!$L$4=0,'Remote School Building Weight'!J38,0)</f>
        <v>30.209249744037042</v>
      </c>
      <c r="M38">
        <v>149</v>
      </c>
      <c r="N38" t="s">
        <v>48</v>
      </c>
      <c r="O38">
        <f t="shared" si="3"/>
        <v>0</v>
      </c>
      <c r="P38">
        <f>SUMIF($A$2:$A$46,M38,($E$2:$E$46))*'Front page'!$E$14</f>
        <v>0</v>
      </c>
      <c r="Q38">
        <f t="shared" si="0"/>
        <v>0</v>
      </c>
      <c r="R38">
        <f t="shared" si="4"/>
        <v>0</v>
      </c>
      <c r="S38" s="86"/>
    </row>
    <row r="39" spans="1:19">
      <c r="A39" s="81">
        <v>272</v>
      </c>
      <c r="B39" t="s">
        <v>420</v>
      </c>
      <c r="C39" s="81">
        <v>747</v>
      </c>
      <c r="D39" t="s">
        <v>421</v>
      </c>
      <c r="E39" s="25">
        <v>348.20857988165659</v>
      </c>
      <c r="F39" s="170">
        <f>IF(E39&lt;='Small Dist Weight'!$AA$5,1+'Small Dist Weight'!$Y$5,IF(E39&gt;0,1+('Small Dist Weight'!$Y$5-(E39*('Small Dist Weight'!$Y$5/'Small Dist Weight'!$X$5))),""))</f>
        <v>0.94206360946745638</v>
      </c>
      <c r="G39" s="175">
        <f>IF(E39&lt;='Small Dist Weight'!$AA$5,1+'Small Dist Weight'!$Y$10,IF(AND(E39&gt;='Small Dist Weight'!$Z$10,E39&lt;'Small Dist Weight'!$X$10),1-'Small Dist Weight'!$AA$10+('Small Dist Weight'!$AA$11-(E39*'Small Dist Weight'!$AB$10)),IF(AND(E39&lt;'Small Dist Weight'!$Z$11,E39&lt;'Small Dist Weight'!$X$11),1+'Small Dist Weight'!$AA$10+('Small Dist Weight'!$AA$11-(E39*'Small Dist Weight'!$AB$11)),0)))</f>
        <v>0</v>
      </c>
      <c r="H39" s="173">
        <f t="shared" si="1"/>
        <v>0</v>
      </c>
      <c r="I39" s="177">
        <f t="shared" si="2"/>
        <v>0</v>
      </c>
      <c r="J39">
        <f>IF(settings!$D$4=0,'Remote School Building Weight'!H39,'Remote School Building Weight'!I39)</f>
        <v>0</v>
      </c>
      <c r="K39">
        <f>IF(settings!$L$4=0,'Remote School Building Weight'!J39,0)</f>
        <v>0</v>
      </c>
      <c r="M39">
        <v>150</v>
      </c>
      <c r="N39" t="s">
        <v>49</v>
      </c>
      <c r="O39">
        <f t="shared" si="3"/>
        <v>0</v>
      </c>
      <c r="P39">
        <f>SUMIF($A$2:$A$46,M39,($E$2:$E$46))*'Front page'!$E$14</f>
        <v>0</v>
      </c>
      <c r="Q39">
        <f t="shared" si="0"/>
        <v>0</v>
      </c>
      <c r="R39">
        <f t="shared" si="4"/>
        <v>0</v>
      </c>
      <c r="S39" s="86"/>
    </row>
    <row r="40" spans="1:19">
      <c r="A40" s="81">
        <v>288</v>
      </c>
      <c r="B40" t="s">
        <v>422</v>
      </c>
      <c r="C40" s="81">
        <v>771</v>
      </c>
      <c r="D40" t="s">
        <v>423</v>
      </c>
      <c r="E40" s="25">
        <v>67.365859559819938</v>
      </c>
      <c r="F40" s="170">
        <f>IF(E40&lt;='Small Dist Weight'!$AA$5,1+'Small Dist Weight'!$Y$5,IF(E40&gt;0,1+('Small Dist Weight'!$Y$5-(E40*('Small Dist Weight'!$Y$5/'Small Dist Weight'!$X$5))),""))</f>
        <v>1.8356540832187549</v>
      </c>
      <c r="G40" s="175">
        <f>IF(E40&lt;='Small Dist Weight'!$AA$5,1+'Small Dist Weight'!$Y$10,IF(AND(E40&gt;='Small Dist Weight'!$Z$10,E40&lt;'Small Dist Weight'!$X$10),1-'Small Dist Weight'!$AA$10+('Small Dist Weight'!$AA$11-(E40*'Small Dist Weight'!$AB$10)),IF(AND(E40&lt;'Small Dist Weight'!$Z$11,E40&lt;'Small Dist Weight'!$X$11),1+'Small Dist Weight'!$AA$10+('Small Dist Weight'!$AA$11-(E40*'Small Dist Weight'!$AB$11)),0)))</f>
        <v>1.7284811248281322</v>
      </c>
      <c r="H40" s="173">
        <f t="shared" si="1"/>
        <v>56.294555610704727</v>
      </c>
      <c r="I40" s="177">
        <f t="shared" si="2"/>
        <v>49.074757147151615</v>
      </c>
      <c r="J40">
        <f>IF(settings!$D$4=0,'Remote School Building Weight'!H40,'Remote School Building Weight'!I40)</f>
        <v>49.074757147151615</v>
      </c>
      <c r="K40">
        <f>IF(settings!$L$4=0,'Remote School Building Weight'!J40,0)</f>
        <v>49.074757147151615</v>
      </c>
      <c r="M40">
        <v>151</v>
      </c>
      <c r="N40" t="s">
        <v>50</v>
      </c>
      <c r="O40">
        <f t="shared" si="3"/>
        <v>218.85431001340464</v>
      </c>
      <c r="P40">
        <f>SUMIF($A$2:$A$46,M40,($E$2:$E$46))*'Front page'!$E$14</f>
        <v>0</v>
      </c>
      <c r="Q40">
        <f t="shared" si="0"/>
        <v>821.87802262652576</v>
      </c>
      <c r="R40">
        <f t="shared" si="4"/>
        <v>1040.7323326399305</v>
      </c>
      <c r="S40" s="86">
        <v>0.21028875835754707</v>
      </c>
    </row>
    <row r="41" spans="1:19">
      <c r="A41" s="81">
        <v>292</v>
      </c>
      <c r="B41" t="s">
        <v>424</v>
      </c>
      <c r="C41" s="81">
        <v>765</v>
      </c>
      <c r="D41" t="s">
        <v>425</v>
      </c>
      <c r="E41" s="25">
        <v>18.662431292729494</v>
      </c>
      <c r="F41" s="170">
        <f>IF(E41&lt;='Small Dist Weight'!$AA$5,1+'Small Dist Weight'!$Y$5,IF(E41&gt;0,1+('Small Dist Weight'!$Y$5-(E41*('Small Dist Weight'!$Y$5/'Small Dist Weight'!$X$5))),""))</f>
        <v>2.0499999999999998</v>
      </c>
      <c r="G41" s="175">
        <f>IF(E41&lt;='Small Dist Weight'!$AA$5,1+'Small Dist Weight'!$Y$10,IF(AND(E41&gt;='Small Dist Weight'!$Z$10,E41&lt;'Small Dist Weight'!$X$10),1-'Small Dist Weight'!$AA$10+('Small Dist Weight'!$AA$11-(E41*'Small Dist Weight'!$AB$10)),IF(AND(E41&lt;'Small Dist Weight'!$Z$11,E41&lt;'Small Dist Weight'!$X$11),1+'Small Dist Weight'!$AA$10+('Small Dist Weight'!$AA$11-(E41*'Small Dist Weight'!$AB$11)),0)))</f>
        <v>2.0499999999999998</v>
      </c>
      <c r="H41" s="173">
        <f t="shared" si="1"/>
        <v>19.595552857365966</v>
      </c>
      <c r="I41" s="177">
        <f t="shared" si="2"/>
        <v>19.595552857365966</v>
      </c>
      <c r="J41">
        <f>IF(settings!$D$4=0,'Remote School Building Weight'!H41,'Remote School Building Weight'!I41)</f>
        <v>19.595552857365966</v>
      </c>
      <c r="K41">
        <f>IF(settings!$L$4=0,'Remote School Building Weight'!J41,0)</f>
        <v>19.595552857365966</v>
      </c>
      <c r="M41">
        <v>161</v>
      </c>
      <c r="N41" t="s">
        <v>51</v>
      </c>
      <c r="O41">
        <f t="shared" si="3"/>
        <v>0</v>
      </c>
      <c r="P41">
        <f>SUMIF($A$2:$A$46,M41,($E$2:$E$46))*'Front page'!$E$14</f>
        <v>0</v>
      </c>
      <c r="Q41">
        <f t="shared" si="0"/>
        <v>0</v>
      </c>
      <c r="R41">
        <f t="shared" si="4"/>
        <v>0</v>
      </c>
      <c r="S41" s="86"/>
    </row>
    <row r="42" spans="1:19">
      <c r="A42" s="81">
        <v>351</v>
      </c>
      <c r="B42" t="s">
        <v>426</v>
      </c>
      <c r="C42" s="81">
        <v>797</v>
      </c>
      <c r="D42" t="s">
        <v>427</v>
      </c>
      <c r="E42" s="25">
        <v>12.40067796610167</v>
      </c>
      <c r="F42" s="170">
        <f>IF(E42&lt;='Small Dist Weight'!$AA$5,1+'Small Dist Weight'!$Y$5,IF(E42&gt;0,1+('Small Dist Weight'!$Y$5-(E42*('Small Dist Weight'!$Y$5/'Small Dist Weight'!$X$5))),""))</f>
        <v>2.0499999999999998</v>
      </c>
      <c r="G42" s="175">
        <f>IF(E42&lt;='Small Dist Weight'!$AA$5,1+'Small Dist Weight'!$Y$10,IF(AND(E42&gt;='Small Dist Weight'!$Z$10,E42&lt;'Small Dist Weight'!$X$10),1-'Small Dist Weight'!$AA$10+('Small Dist Weight'!$AA$11-(E42*'Small Dist Weight'!$AB$10)),IF(AND(E42&lt;'Small Dist Weight'!$Z$11,E42&lt;'Small Dist Weight'!$X$11),1+'Small Dist Weight'!$AA$10+('Small Dist Weight'!$AA$11-(E42*'Small Dist Weight'!$AB$11)),0)))</f>
        <v>2.0499999999999998</v>
      </c>
      <c r="H42" s="173">
        <f t="shared" si="1"/>
        <v>13.020711864406751</v>
      </c>
      <c r="I42" s="177">
        <f t="shared" si="2"/>
        <v>13.020711864406751</v>
      </c>
      <c r="J42">
        <f>IF(settings!$D$4=0,'Remote School Building Weight'!H42,'Remote School Building Weight'!I42)</f>
        <v>13.020711864406751</v>
      </c>
      <c r="K42">
        <f>IF(settings!$L$4=0,'Remote School Building Weight'!J42,0)</f>
        <v>13.020711864406751</v>
      </c>
      <c r="M42">
        <v>171</v>
      </c>
      <c r="N42" t="s">
        <v>52</v>
      </c>
      <c r="O42">
        <f t="shared" si="3"/>
        <v>153.19800783058582</v>
      </c>
      <c r="P42">
        <f>SUMIF($A$2:$A$46,M42,($E$2:$E$46))*'Front page'!$E$14</f>
        <v>0</v>
      </c>
      <c r="Q42">
        <f t="shared" si="0"/>
        <v>251.89036124794723</v>
      </c>
      <c r="R42">
        <f t="shared" si="4"/>
        <v>405.08836907853305</v>
      </c>
      <c r="S42" s="86">
        <v>0.37818416801022958</v>
      </c>
    </row>
    <row r="43" spans="1:19">
      <c r="A43" s="81">
        <v>365</v>
      </c>
      <c r="B43" t="s">
        <v>428</v>
      </c>
      <c r="C43" s="81">
        <v>801</v>
      </c>
      <c r="D43" t="s">
        <v>429</v>
      </c>
      <c r="E43" s="25">
        <v>55.356293706293684</v>
      </c>
      <c r="F43" s="170">
        <f>IF(E43&lt;='Small Dist Weight'!$AA$5,1+'Small Dist Weight'!$Y$5,IF(E43&gt;0,1+('Small Dist Weight'!$Y$5-(E43*('Small Dist Weight'!$Y$5/'Small Dist Weight'!$X$5))),""))</f>
        <v>1.8738663382072474</v>
      </c>
      <c r="G43" s="175">
        <f>IF(E43&lt;='Small Dist Weight'!$AA$5,1+'Small Dist Weight'!$Y$10,IF(AND(E43&gt;='Small Dist Weight'!$Z$10,E43&lt;'Small Dist Weight'!$X$10),1-'Small Dist Weight'!$AA$10+('Small Dist Weight'!$AA$11-(E43*'Small Dist Weight'!$AB$10)),IF(AND(E43&lt;'Small Dist Weight'!$Z$11,E43&lt;'Small Dist Weight'!$X$11),1+'Small Dist Weight'!$AA$10+('Small Dist Weight'!$AA$11-(E43*'Small Dist Weight'!$AB$11)),0)))</f>
        <v>1.785799507310871</v>
      </c>
      <c r="H43" s="173">
        <f t="shared" si="1"/>
        <v>48.374001677843758</v>
      </c>
      <c r="I43" s="177">
        <f t="shared" si="2"/>
        <v>43.498948320961446</v>
      </c>
      <c r="J43">
        <f>IF(settings!$D$4=0,'Remote School Building Weight'!H43,'Remote School Building Weight'!I43)</f>
        <v>43.498948320961446</v>
      </c>
      <c r="K43">
        <f>IF(settings!$L$4=0,'Remote School Building Weight'!J43,0)</f>
        <v>43.498948320961446</v>
      </c>
      <c r="M43">
        <v>181</v>
      </c>
      <c r="N43" t="s">
        <v>53</v>
      </c>
      <c r="O43">
        <f t="shared" si="3"/>
        <v>11.260646766055558</v>
      </c>
      <c r="P43">
        <f>E28*'Front page'!$E$14</f>
        <v>0</v>
      </c>
      <c r="Q43">
        <v>11</v>
      </c>
      <c r="R43">
        <f t="shared" si="4"/>
        <v>22.260646766055558</v>
      </c>
      <c r="S43" s="86"/>
    </row>
    <row r="44" spans="1:19">
      <c r="A44" s="81">
        <v>391</v>
      </c>
      <c r="B44" t="s">
        <v>430</v>
      </c>
      <c r="C44" s="81">
        <v>812</v>
      </c>
      <c r="D44" t="s">
        <v>431</v>
      </c>
      <c r="E44" s="25">
        <v>63.531213017751469</v>
      </c>
      <c r="F44" s="170">
        <f>IF(E44&lt;='Small Dist Weight'!$AA$5,1+'Small Dist Weight'!$Y$5,IF(E44&gt;0,1+('Small Dist Weight'!$Y$5-(E44*('Small Dist Weight'!$Y$5/'Small Dist Weight'!$X$5))),""))</f>
        <v>1.8478552313071543</v>
      </c>
      <c r="G44" s="175">
        <f>IF(E44&lt;='Small Dist Weight'!$AA$5,1+'Small Dist Weight'!$Y$10,IF(AND(E44&gt;='Small Dist Weight'!$Z$10,E44&lt;'Small Dist Weight'!$X$10),1-'Small Dist Weight'!$AA$10+('Small Dist Weight'!$AA$11-(E44*'Small Dist Weight'!$AB$10)),IF(AND(E44&lt;'Small Dist Weight'!$Z$11,E44&lt;'Small Dist Weight'!$X$11),1+'Small Dist Weight'!$AA$10+('Small Dist Weight'!$AA$11-(E44*'Small Dist Weight'!$AB$11)),0)))</f>
        <v>1.7467828469607316</v>
      </c>
      <c r="H44" s="173">
        <f t="shared" si="1"/>
        <v>53.865271308389765</v>
      </c>
      <c r="I44" s="177">
        <f t="shared" si="2"/>
        <v>47.444020128265137</v>
      </c>
      <c r="J44">
        <f>IF(settings!$D$4=0,'Remote School Building Weight'!H44,'Remote School Building Weight'!I44)</f>
        <v>47.444020128265137</v>
      </c>
      <c r="K44">
        <f>IF(settings!$L$4=0,'Remote School Building Weight'!J44,0)</f>
        <v>47.444020128265137</v>
      </c>
      <c r="M44">
        <v>182</v>
      </c>
      <c r="N44" t="s">
        <v>54</v>
      </c>
      <c r="O44">
        <f t="shared" si="3"/>
        <v>0</v>
      </c>
      <c r="P44">
        <f>SUMIF($A$2:$A$46,M44,($E$2:$E$46))*'Front page'!$E$14</f>
        <v>0</v>
      </c>
      <c r="Q44">
        <f t="shared" ref="Q44:Q66" si="5">SUMIF($A$2:$A$46,M44,$E$2:$E$46)</f>
        <v>0</v>
      </c>
      <c r="R44">
        <f t="shared" si="4"/>
        <v>0</v>
      </c>
      <c r="S44" s="86"/>
    </row>
    <row r="45" spans="1:19">
      <c r="A45" s="81">
        <v>413</v>
      </c>
      <c r="B45" t="s">
        <v>432</v>
      </c>
      <c r="C45" s="81">
        <v>832</v>
      </c>
      <c r="D45" t="s">
        <v>433</v>
      </c>
      <c r="E45" s="25">
        <v>57.782830513092719</v>
      </c>
      <c r="F45" s="170">
        <f>IF(E45&lt;='Small Dist Weight'!$AA$5,1+'Small Dist Weight'!$Y$5,IF(E45&gt;0,1+('Small Dist Weight'!$Y$5-(E45*('Small Dist Weight'!$Y$5/'Small Dist Weight'!$X$5))),""))</f>
        <v>1.8661455392765232</v>
      </c>
      <c r="G45" s="175">
        <f>IF(E45&lt;='Small Dist Weight'!$AA$5,1+'Small Dist Weight'!$Y$10,IF(AND(E45&gt;='Small Dist Weight'!$Z$10,E45&lt;'Small Dist Weight'!$X$10),1-'Small Dist Weight'!$AA$10+('Small Dist Weight'!$AA$11-(E45*'Small Dist Weight'!$AB$10)),IF(AND(E45&lt;'Small Dist Weight'!$Z$11,E45&lt;'Small Dist Weight'!$X$11),1+'Small Dist Weight'!$AA$10+('Small Dist Weight'!$AA$11-(E45*'Small Dist Weight'!$AB$11)),0)))</f>
        <v>1.7742183089147847</v>
      </c>
      <c r="H45" s="173">
        <f t="shared" si="1"/>
        <v>50.048340895686628</v>
      </c>
      <c r="I45" s="177">
        <f t="shared" si="2"/>
        <v>44.736525324156268</v>
      </c>
      <c r="J45">
        <f>IF(settings!$D$4=0,'Remote School Building Weight'!H45,'Remote School Building Weight'!I45)</f>
        <v>44.736525324156268</v>
      </c>
      <c r="K45">
        <f>IF(settings!$L$4=0,'Remote School Building Weight'!J45,0)</f>
        <v>44.736525324156268</v>
      </c>
      <c r="M45">
        <v>191</v>
      </c>
      <c r="N45" t="s">
        <v>55</v>
      </c>
      <c r="O45">
        <f t="shared" si="3"/>
        <v>0</v>
      </c>
      <c r="P45">
        <f>SUMIF($A$2:$A$46,M45,($E$2:$E$46))*'Front page'!$E$14</f>
        <v>0</v>
      </c>
      <c r="Q45">
        <f t="shared" si="5"/>
        <v>0</v>
      </c>
      <c r="R45">
        <f t="shared" si="4"/>
        <v>0</v>
      </c>
      <c r="S45" s="86"/>
    </row>
    <row r="46" spans="1:19">
      <c r="A46" s="81">
        <v>421</v>
      </c>
      <c r="B46" t="s">
        <v>434</v>
      </c>
      <c r="C46" s="81">
        <v>988</v>
      </c>
      <c r="D46" t="s">
        <v>435</v>
      </c>
      <c r="E46" s="25">
        <v>156.440808001422</v>
      </c>
      <c r="F46" s="170">
        <f>IF(E46&lt;='Small Dist Weight'!$AA$5,1+'Small Dist Weight'!$Y$5,IF(E46&gt;0,1+('Small Dist Weight'!$Y$5-(E46*('Small Dist Weight'!$Y$5/'Small Dist Weight'!$X$5))),""))</f>
        <v>1.5522337927227481</v>
      </c>
      <c r="G46" s="175">
        <f>IF(E46&lt;='Small Dist Weight'!$AA$5,1+'Small Dist Weight'!$Y$10,IF(AND(E46&gt;='Small Dist Weight'!$Z$10,E46&lt;'Small Dist Weight'!$X$10),1-'Small Dist Weight'!$AA$10+('Small Dist Weight'!$AA$11-(E46*'Small Dist Weight'!$AB$10)),IF(AND(E46&lt;'Small Dist Weight'!$Z$11,E46&lt;'Small Dist Weight'!$X$11),1+'Small Dist Weight'!$AA$10+('Small Dist Weight'!$AA$11-(E46*'Small Dist Weight'!$AB$11)),0)))</f>
        <v>1.3033506890841222</v>
      </c>
      <c r="H46" s="173">
        <f t="shared" si="1"/>
        <v>86.391900739236505</v>
      </c>
      <c r="I46" s="177">
        <f t="shared" si="2"/>
        <v>47.456426908108227</v>
      </c>
      <c r="J46">
        <f>IF(settings!$D$4=0,'Remote School Building Weight'!H46,'Remote School Building Weight'!I46)</f>
        <v>47.456426908108227</v>
      </c>
      <c r="K46">
        <f>IF(settings!$L$4=0,'Remote School Building Weight'!J46,0)</f>
        <v>47.456426908108227</v>
      </c>
      <c r="M46">
        <v>192</v>
      </c>
      <c r="N46" t="s">
        <v>56</v>
      </c>
      <c r="O46">
        <f t="shared" si="3"/>
        <v>0</v>
      </c>
      <c r="P46">
        <f>SUMIF($A$2:$A$46,M46,($E$2:$E$46))*'Front page'!$E$14</f>
        <v>0</v>
      </c>
      <c r="Q46">
        <f t="shared" si="5"/>
        <v>0</v>
      </c>
      <c r="R46">
        <f t="shared" si="4"/>
        <v>0</v>
      </c>
      <c r="S46" s="86"/>
    </row>
    <row r="47" spans="1:19">
      <c r="M47">
        <v>193</v>
      </c>
      <c r="N47" t="s">
        <v>57</v>
      </c>
      <c r="O47">
        <f t="shared" si="3"/>
        <v>3.6463822487689912</v>
      </c>
      <c r="P47">
        <f>SUMIF($A$2:$A$46,M47,($E$2:$E$46))*'Front page'!$E$14</f>
        <v>0</v>
      </c>
      <c r="Q47">
        <f t="shared" si="5"/>
        <v>3.4727449988276113</v>
      </c>
      <c r="R47">
        <f t="shared" si="4"/>
        <v>7.1191272475966025</v>
      </c>
      <c r="S47" s="86">
        <v>0.51219512195121941</v>
      </c>
    </row>
    <row r="48" spans="1:19">
      <c r="M48">
        <v>201</v>
      </c>
      <c r="N48" t="s">
        <v>58</v>
      </c>
      <c r="O48">
        <f t="shared" si="3"/>
        <v>0</v>
      </c>
      <c r="P48">
        <f>SUMIF($A$2:$A$46,M48,($E$2:$E$46))*'Front page'!$E$14</f>
        <v>0</v>
      </c>
      <c r="Q48">
        <f t="shared" si="5"/>
        <v>0</v>
      </c>
      <c r="R48">
        <f t="shared" si="4"/>
        <v>0</v>
      </c>
      <c r="S48" s="86"/>
    </row>
    <row r="49" spans="13:19">
      <c r="M49">
        <v>202</v>
      </c>
      <c r="N49" t="s">
        <v>59</v>
      </c>
      <c r="O49">
        <f t="shared" si="3"/>
        <v>0</v>
      </c>
      <c r="P49">
        <f>SUMIF($A$2:$A$46,M49,($E$2:$E$46))*'Front page'!$E$14</f>
        <v>0</v>
      </c>
      <c r="Q49">
        <f t="shared" si="5"/>
        <v>0</v>
      </c>
      <c r="R49">
        <f t="shared" si="4"/>
        <v>0</v>
      </c>
      <c r="S49" s="86"/>
    </row>
    <row r="50" spans="13:19">
      <c r="M50">
        <v>215</v>
      </c>
      <c r="N50" t="s">
        <v>60</v>
      </c>
      <c r="O50">
        <f t="shared" si="3"/>
        <v>34.061836128669121</v>
      </c>
      <c r="P50">
        <f>SUMIF($A$2:$A$46,M50,($E$2:$E$46))*'Front page'!$E$14</f>
        <v>0</v>
      </c>
      <c r="Q50">
        <f t="shared" si="5"/>
        <v>580.19143463120599</v>
      </c>
      <c r="R50">
        <f t="shared" si="4"/>
        <v>614.25327075987514</v>
      </c>
      <c r="S50" s="86">
        <v>5.5452429396968775E-2</v>
      </c>
    </row>
    <row r="51" spans="13:19">
      <c r="M51">
        <v>221</v>
      </c>
      <c r="N51" t="s">
        <v>61</v>
      </c>
      <c r="O51">
        <f t="shared" si="3"/>
        <v>57.936300956463413</v>
      </c>
      <c r="P51">
        <f>SUMIF($A$2:$A$46,M51,($E$2:$E$46))*'Front page'!$E$14</f>
        <v>0</v>
      </c>
      <c r="Q51">
        <f t="shared" si="5"/>
        <v>62.29889032235117</v>
      </c>
      <c r="R51">
        <f t="shared" si="4"/>
        <v>120.23519127881458</v>
      </c>
      <c r="S51" s="86">
        <v>0.48185810111213068</v>
      </c>
    </row>
    <row r="52" spans="13:19">
      <c r="M52">
        <v>231</v>
      </c>
      <c r="N52" t="s">
        <v>62</v>
      </c>
      <c r="O52">
        <f t="shared" si="3"/>
        <v>0</v>
      </c>
      <c r="P52">
        <f>SUMIF($A$2:$A$46,M52,($E$2:$E$46))*'Front page'!$E$14</f>
        <v>0</v>
      </c>
      <c r="Q52">
        <f t="shared" si="5"/>
        <v>0</v>
      </c>
      <c r="R52">
        <f t="shared" si="4"/>
        <v>0</v>
      </c>
      <c r="S52" s="86"/>
    </row>
    <row r="53" spans="13:19">
      <c r="M53">
        <v>232</v>
      </c>
      <c r="N53" t="s">
        <v>63</v>
      </c>
      <c r="O53">
        <f t="shared" si="3"/>
        <v>0</v>
      </c>
      <c r="P53">
        <f>SUMIF($A$2:$A$46,M53,($E$2:$E$46))*'Front page'!$E$14</f>
        <v>0</v>
      </c>
      <c r="Q53">
        <f t="shared" si="5"/>
        <v>0</v>
      </c>
      <c r="R53">
        <f t="shared" si="4"/>
        <v>0</v>
      </c>
      <c r="S53" s="86"/>
    </row>
    <row r="54" spans="13:19">
      <c r="M54">
        <v>233</v>
      </c>
      <c r="N54" t="s">
        <v>64</v>
      </c>
      <c r="O54">
        <f t="shared" si="3"/>
        <v>0</v>
      </c>
      <c r="P54">
        <f>SUMIF($A$2:$A$46,M54,($E$2:$E$46))*'Front page'!$E$14</f>
        <v>0</v>
      </c>
      <c r="Q54">
        <f t="shared" si="5"/>
        <v>0</v>
      </c>
      <c r="R54">
        <f t="shared" si="4"/>
        <v>0</v>
      </c>
      <c r="S54" s="86"/>
    </row>
    <row r="55" spans="13:19">
      <c r="M55">
        <v>234</v>
      </c>
      <c r="N55" t="s">
        <v>65</v>
      </c>
      <c r="O55">
        <f t="shared" si="3"/>
        <v>0</v>
      </c>
      <c r="P55">
        <f>SUMIF($A$2:$A$46,M55,($E$2:$E$46))*'Front page'!$E$14</f>
        <v>0</v>
      </c>
      <c r="Q55">
        <f t="shared" si="5"/>
        <v>0</v>
      </c>
      <c r="R55">
        <f t="shared" si="4"/>
        <v>0</v>
      </c>
      <c r="S55" s="86"/>
    </row>
    <row r="56" spans="13:19">
      <c r="M56">
        <v>242</v>
      </c>
      <c r="N56" t="s">
        <v>66</v>
      </c>
      <c r="O56">
        <f t="shared" si="3"/>
        <v>0</v>
      </c>
      <c r="P56">
        <f>SUMIF($A$2:$A$46,M56,($E$2:$E$46))*'Front page'!$E$14</f>
        <v>0</v>
      </c>
      <c r="Q56">
        <f t="shared" si="5"/>
        <v>0</v>
      </c>
      <c r="R56">
        <f t="shared" si="4"/>
        <v>0</v>
      </c>
      <c r="S56" s="86"/>
    </row>
    <row r="57" spans="13:19">
      <c r="M57">
        <v>243</v>
      </c>
      <c r="N57" t="s">
        <v>67</v>
      </c>
      <c r="O57">
        <f t="shared" si="3"/>
        <v>0</v>
      </c>
      <c r="P57">
        <f>SUMIF($A$2:$A$46,M57,($E$2:$E$46))*'Front page'!$E$14</f>
        <v>0</v>
      </c>
      <c r="Q57">
        <f t="shared" si="5"/>
        <v>0</v>
      </c>
      <c r="R57">
        <f t="shared" si="4"/>
        <v>0</v>
      </c>
      <c r="S57" s="86"/>
    </row>
    <row r="58" spans="13:19">
      <c r="M58">
        <v>244</v>
      </c>
      <c r="N58" t="s">
        <v>68</v>
      </c>
      <c r="O58">
        <f t="shared" si="3"/>
        <v>84.905177216791515</v>
      </c>
      <c r="P58">
        <f>SUMIF($A$2:$A$46,M58,($E$2:$E$46))*'Front page'!$E$14</f>
        <v>0</v>
      </c>
      <c r="Q58">
        <f t="shared" si="5"/>
        <v>419.55481531388745</v>
      </c>
      <c r="R58">
        <f t="shared" si="4"/>
        <v>504.45999253067896</v>
      </c>
      <c r="S58" s="86">
        <v>0.16830904030834115</v>
      </c>
    </row>
    <row r="59" spans="13:19">
      <c r="M59">
        <v>251</v>
      </c>
      <c r="N59" t="s">
        <v>69</v>
      </c>
      <c r="O59">
        <f t="shared" si="3"/>
        <v>0</v>
      </c>
      <c r="P59">
        <f>SUMIF($A$2:$A$46,M59,($E$2:$E$46))*'Front page'!$E$14</f>
        <v>0</v>
      </c>
      <c r="Q59">
        <f t="shared" si="5"/>
        <v>0</v>
      </c>
      <c r="R59">
        <f t="shared" si="4"/>
        <v>0</v>
      </c>
      <c r="S59" s="86"/>
    </row>
    <row r="60" spans="13:19">
      <c r="M60">
        <v>252</v>
      </c>
      <c r="N60" t="s">
        <v>70</v>
      </c>
      <c r="O60">
        <f t="shared" si="3"/>
        <v>0</v>
      </c>
      <c r="P60">
        <f>SUMIF($A$2:$A$46,M60,($E$2:$E$46))*'Front page'!$E$14</f>
        <v>0</v>
      </c>
      <c r="Q60">
        <f t="shared" si="5"/>
        <v>0</v>
      </c>
      <c r="R60">
        <f t="shared" si="4"/>
        <v>0</v>
      </c>
      <c r="S60" s="86"/>
    </row>
    <row r="61" spans="13:19">
      <c r="M61">
        <v>253</v>
      </c>
      <c r="N61" t="s">
        <v>71</v>
      </c>
      <c r="O61">
        <f t="shared" si="3"/>
        <v>30.209249744037042</v>
      </c>
      <c r="P61">
        <f>SUMIF($A$2:$A$46,M61,($E$2:$E$46))*'Front page'!$E$14</f>
        <v>0</v>
      </c>
      <c r="Q61">
        <f t="shared" si="5"/>
        <v>28.770714041940046</v>
      </c>
      <c r="R61">
        <f t="shared" si="4"/>
        <v>58.979963785977091</v>
      </c>
      <c r="S61" s="86">
        <v>0.51219512195121941</v>
      </c>
    </row>
    <row r="62" spans="13:19">
      <c r="M62">
        <v>261</v>
      </c>
      <c r="N62" t="s">
        <v>72</v>
      </c>
      <c r="O62">
        <f t="shared" si="3"/>
        <v>0</v>
      </c>
      <c r="P62">
        <f>SUMIF($A$2:$A$46,M62,($E$2:$E$46))*'Front page'!$E$14</f>
        <v>0</v>
      </c>
      <c r="Q62">
        <f t="shared" si="5"/>
        <v>0</v>
      </c>
      <c r="R62">
        <f t="shared" si="4"/>
        <v>0</v>
      </c>
      <c r="S62" s="86"/>
    </row>
    <row r="63" spans="13:19">
      <c r="M63">
        <v>262</v>
      </c>
      <c r="N63" t="s">
        <v>73</v>
      </c>
      <c r="O63">
        <f t="shared" si="3"/>
        <v>0</v>
      </c>
      <c r="P63">
        <f>SUMIF($A$2:$A$46,M63,($E$2:$E$46))*'Front page'!$E$14</f>
        <v>0</v>
      </c>
      <c r="Q63">
        <f t="shared" si="5"/>
        <v>0</v>
      </c>
      <c r="R63">
        <f t="shared" si="4"/>
        <v>0</v>
      </c>
      <c r="S63" s="86"/>
    </row>
    <row r="64" spans="13:19">
      <c r="M64">
        <v>271</v>
      </c>
      <c r="N64" t="s">
        <v>74</v>
      </c>
      <c r="O64">
        <f t="shared" si="3"/>
        <v>0</v>
      </c>
      <c r="P64">
        <f>SUMIF($A$2:$A$46,M64,($E$2:$E$46))*'Front page'!$E$14</f>
        <v>0</v>
      </c>
      <c r="Q64">
        <f t="shared" si="5"/>
        <v>0</v>
      </c>
      <c r="R64">
        <f t="shared" si="4"/>
        <v>0</v>
      </c>
      <c r="S64" s="86"/>
    </row>
    <row r="65" spans="13:19">
      <c r="M65">
        <v>272</v>
      </c>
      <c r="N65" t="s">
        <v>75</v>
      </c>
      <c r="O65">
        <f t="shared" si="3"/>
        <v>0</v>
      </c>
      <c r="P65">
        <f>SUMIF($A$2:$A$46,M65,($E$2:$E$46))*'Front page'!$E$14</f>
        <v>0</v>
      </c>
      <c r="Q65">
        <f t="shared" si="5"/>
        <v>348.20857988165659</v>
      </c>
      <c r="R65">
        <f t="shared" si="4"/>
        <v>348.20857988165659</v>
      </c>
      <c r="S65" s="86">
        <v>0</v>
      </c>
    </row>
    <row r="66" spans="13:19">
      <c r="M66">
        <v>273</v>
      </c>
      <c r="N66" t="s">
        <v>76</v>
      </c>
      <c r="O66">
        <f t="shared" si="3"/>
        <v>0</v>
      </c>
      <c r="P66">
        <f>SUMIF($A$2:$A$46,M66,($E$2:$E$46))*'Front page'!$E$14</f>
        <v>0</v>
      </c>
      <c r="Q66">
        <f t="shared" si="5"/>
        <v>0</v>
      </c>
      <c r="R66">
        <f t="shared" si="4"/>
        <v>0</v>
      </c>
      <c r="S66" s="86"/>
    </row>
    <row r="67" spans="13:19">
      <c r="M67">
        <v>274</v>
      </c>
      <c r="N67" t="s">
        <v>77</v>
      </c>
      <c r="O67">
        <f t="shared" ref="O67:O130" si="6">SUMIF($A$2:$A$46,M67,$K$2:$K$46)</f>
        <v>0</v>
      </c>
      <c r="P67">
        <f>SUMIF($A$2:$A$46,M67,($E$2:$E$46))*'Front page'!$E$14</f>
        <v>0</v>
      </c>
      <c r="Q67">
        <f t="shared" ref="Q67:Q130" si="7">SUMIF($A$2:$A$46,M67,$E$2:$E$46)</f>
        <v>0</v>
      </c>
      <c r="R67">
        <f t="shared" ref="R67:R130" si="8">O67+Q67</f>
        <v>0</v>
      </c>
      <c r="S67" s="86"/>
    </row>
    <row r="68" spans="13:19">
      <c r="M68">
        <v>281</v>
      </c>
      <c r="N68" t="s">
        <v>78</v>
      </c>
      <c r="O68">
        <f t="shared" si="6"/>
        <v>0</v>
      </c>
      <c r="P68">
        <f>SUMIF($A$2:$A$46,M68,($E$2:$E$46))*'Front page'!$E$14</f>
        <v>0</v>
      </c>
      <c r="Q68">
        <f t="shared" si="7"/>
        <v>0</v>
      </c>
      <c r="R68">
        <f t="shared" si="8"/>
        <v>0</v>
      </c>
      <c r="S68" s="86"/>
    </row>
    <row r="69" spans="13:19">
      <c r="M69">
        <v>282</v>
      </c>
      <c r="N69" t="s">
        <v>79</v>
      </c>
      <c r="O69">
        <f t="shared" si="6"/>
        <v>0</v>
      </c>
      <c r="P69">
        <f>SUMIF($A$2:$A$46,M69,($E$2:$E$46))*'Front page'!$E$14</f>
        <v>0</v>
      </c>
      <c r="Q69">
        <f t="shared" si="7"/>
        <v>0</v>
      </c>
      <c r="R69">
        <f t="shared" si="8"/>
        <v>0</v>
      </c>
      <c r="S69" s="86"/>
    </row>
    <row r="70" spans="13:19">
      <c r="M70">
        <v>283</v>
      </c>
      <c r="N70" t="s">
        <v>80</v>
      </c>
      <c r="O70">
        <f t="shared" si="6"/>
        <v>0</v>
      </c>
      <c r="P70">
        <f>SUMIF($A$2:$A$46,M70,($E$2:$E$46))*'Front page'!$E$14</f>
        <v>0</v>
      </c>
      <c r="Q70">
        <f t="shared" si="7"/>
        <v>0</v>
      </c>
      <c r="R70">
        <f t="shared" si="8"/>
        <v>0</v>
      </c>
      <c r="S70" s="86"/>
    </row>
    <row r="71" spans="13:19">
      <c r="M71">
        <v>285</v>
      </c>
      <c r="N71" t="s">
        <v>81</v>
      </c>
      <c r="O71">
        <f t="shared" si="6"/>
        <v>0</v>
      </c>
      <c r="P71">
        <f>SUMIF($A$2:$A$46,M71,($E$2:$E$46))*'Front page'!$E$14</f>
        <v>0</v>
      </c>
      <c r="Q71">
        <f t="shared" si="7"/>
        <v>0</v>
      </c>
      <c r="R71">
        <f t="shared" si="8"/>
        <v>0</v>
      </c>
      <c r="S71" s="86"/>
    </row>
    <row r="72" spans="13:19">
      <c r="M72">
        <v>287</v>
      </c>
      <c r="N72" t="s">
        <v>82</v>
      </c>
      <c r="O72">
        <f t="shared" si="6"/>
        <v>0</v>
      </c>
      <c r="P72">
        <f>SUMIF($A$2:$A$46,M72,($E$2:$E$46))*'Front page'!$E$14</f>
        <v>0</v>
      </c>
      <c r="Q72">
        <f t="shared" si="7"/>
        <v>0</v>
      </c>
      <c r="R72">
        <f t="shared" si="8"/>
        <v>0</v>
      </c>
      <c r="S72" s="86"/>
    </row>
    <row r="73" spans="13:19">
      <c r="M73">
        <v>288</v>
      </c>
      <c r="N73" t="s">
        <v>83</v>
      </c>
      <c r="O73">
        <f t="shared" si="6"/>
        <v>49.074757147151615</v>
      </c>
      <c r="P73">
        <f>SUMIF($A$2:$A$46,M73,($E$2:$E$46))*'Front page'!$E$14</f>
        <v>0</v>
      </c>
      <c r="Q73">
        <f t="shared" si="7"/>
        <v>67.365859559819938</v>
      </c>
      <c r="R73">
        <f t="shared" si="8"/>
        <v>116.44061670697155</v>
      </c>
      <c r="S73" s="86">
        <v>0.42145737917766801</v>
      </c>
    </row>
    <row r="74" spans="13:19">
      <c r="M74">
        <v>291</v>
      </c>
      <c r="N74" t="s">
        <v>84</v>
      </c>
      <c r="O74">
        <f t="shared" si="6"/>
        <v>0</v>
      </c>
      <c r="P74">
        <f>SUMIF($A$2:$A$46,M74,($E$2:$E$46))*'Front page'!$E$14</f>
        <v>0</v>
      </c>
      <c r="Q74">
        <f t="shared" si="7"/>
        <v>0</v>
      </c>
      <c r="R74">
        <f t="shared" si="8"/>
        <v>0</v>
      </c>
      <c r="S74" s="86"/>
    </row>
    <row r="75" spans="13:19">
      <c r="M75">
        <v>292</v>
      </c>
      <c r="N75" t="s">
        <v>85</v>
      </c>
      <c r="O75">
        <f t="shared" si="6"/>
        <v>19.595552857365966</v>
      </c>
      <c r="P75">
        <f>SUMIF($A$2:$A$46,M75,($E$2:$E$46))*'Front page'!$E$14</f>
        <v>0</v>
      </c>
      <c r="Q75">
        <f t="shared" si="7"/>
        <v>18.662431292729494</v>
      </c>
      <c r="R75">
        <f t="shared" si="8"/>
        <v>38.25798415009546</v>
      </c>
      <c r="S75" s="86">
        <v>0.51219512195121952</v>
      </c>
    </row>
    <row r="76" spans="13:19">
      <c r="M76">
        <v>302</v>
      </c>
      <c r="N76" t="s">
        <v>86</v>
      </c>
      <c r="O76">
        <f t="shared" si="6"/>
        <v>0</v>
      </c>
      <c r="P76">
        <f>SUMIF($A$2:$A$46,M76,($E$2:$E$46))*'Front page'!$E$14</f>
        <v>0</v>
      </c>
      <c r="Q76">
        <f t="shared" si="7"/>
        <v>0</v>
      </c>
      <c r="R76">
        <f t="shared" si="8"/>
        <v>0</v>
      </c>
      <c r="S76" s="86"/>
    </row>
    <row r="77" spans="13:19">
      <c r="M77">
        <v>304</v>
      </c>
      <c r="N77" t="s">
        <v>87</v>
      </c>
      <c r="O77">
        <f t="shared" si="6"/>
        <v>0</v>
      </c>
      <c r="P77">
        <f>SUMIF($A$2:$A$46,M77,($E$2:$E$46))*'Front page'!$E$14</f>
        <v>0</v>
      </c>
      <c r="Q77">
        <f t="shared" si="7"/>
        <v>0</v>
      </c>
      <c r="R77">
        <f t="shared" si="8"/>
        <v>0</v>
      </c>
      <c r="S77" s="86"/>
    </row>
    <row r="78" spans="13:19">
      <c r="M78">
        <v>305</v>
      </c>
      <c r="N78" t="s">
        <v>88</v>
      </c>
      <c r="O78">
        <f t="shared" si="6"/>
        <v>0</v>
      </c>
      <c r="P78">
        <f>SUMIF($A$2:$A$46,M78,($E$2:$E$46))*'Front page'!$E$14</f>
        <v>0</v>
      </c>
      <c r="Q78">
        <f t="shared" si="7"/>
        <v>0</v>
      </c>
      <c r="R78">
        <f t="shared" si="8"/>
        <v>0</v>
      </c>
      <c r="S78" s="86"/>
    </row>
    <row r="79" spans="13:19">
      <c r="M79">
        <v>312</v>
      </c>
      <c r="N79" t="s">
        <v>89</v>
      </c>
      <c r="O79">
        <f t="shared" si="6"/>
        <v>0</v>
      </c>
      <c r="P79">
        <f>SUMIF($A$2:$A$46,M79,($E$2:$E$46))*'Front page'!$E$14</f>
        <v>0</v>
      </c>
      <c r="Q79">
        <f t="shared" si="7"/>
        <v>0</v>
      </c>
      <c r="R79">
        <f t="shared" si="8"/>
        <v>0</v>
      </c>
      <c r="S79" s="86"/>
    </row>
    <row r="80" spans="13:19">
      <c r="M80">
        <v>314</v>
      </c>
      <c r="N80" t="s">
        <v>90</v>
      </c>
      <c r="O80">
        <f t="shared" si="6"/>
        <v>0</v>
      </c>
      <c r="P80">
        <f>SUMIF($A$2:$A$46,M80,($E$2:$E$46))*'Front page'!$E$14</f>
        <v>0</v>
      </c>
      <c r="Q80">
        <f t="shared" si="7"/>
        <v>0</v>
      </c>
      <c r="R80">
        <f t="shared" si="8"/>
        <v>0</v>
      </c>
      <c r="S80" s="86"/>
    </row>
    <row r="81" spans="13:19">
      <c r="M81">
        <v>316</v>
      </c>
      <c r="N81" t="s">
        <v>91</v>
      </c>
      <c r="O81">
        <f t="shared" si="6"/>
        <v>0</v>
      </c>
      <c r="P81">
        <f>SUMIF($A$2:$A$46,M81,($E$2:$E$46))*'Front page'!$E$14</f>
        <v>0</v>
      </c>
      <c r="Q81">
        <f t="shared" si="7"/>
        <v>0</v>
      </c>
      <c r="R81">
        <f t="shared" si="8"/>
        <v>0</v>
      </c>
      <c r="S81" s="86"/>
    </row>
    <row r="82" spans="13:19">
      <c r="M82">
        <v>321</v>
      </c>
      <c r="N82" t="s">
        <v>92</v>
      </c>
      <c r="O82">
        <f t="shared" si="6"/>
        <v>0</v>
      </c>
      <c r="P82">
        <f>SUMIF($A$2:$A$46,M82,($E$2:$E$46))*'Front page'!$E$14</f>
        <v>0</v>
      </c>
      <c r="Q82">
        <f t="shared" si="7"/>
        <v>0</v>
      </c>
      <c r="R82">
        <f t="shared" si="8"/>
        <v>0</v>
      </c>
      <c r="S82" s="86"/>
    </row>
    <row r="83" spans="13:19">
      <c r="M83">
        <v>322</v>
      </c>
      <c r="N83" t="s">
        <v>93</v>
      </c>
      <c r="O83">
        <f t="shared" si="6"/>
        <v>0</v>
      </c>
      <c r="P83">
        <f>SUMIF($A$2:$A$46,M83,($E$2:$E$46))*'Front page'!$E$14</f>
        <v>0</v>
      </c>
      <c r="Q83">
        <f t="shared" si="7"/>
        <v>0</v>
      </c>
      <c r="R83">
        <f t="shared" si="8"/>
        <v>0</v>
      </c>
      <c r="S83" s="86"/>
    </row>
    <row r="84" spans="13:19">
      <c r="M84">
        <v>331</v>
      </c>
      <c r="N84" t="s">
        <v>94</v>
      </c>
      <c r="O84">
        <f t="shared" si="6"/>
        <v>0</v>
      </c>
      <c r="P84">
        <f>SUMIF($A$2:$A$46,M84,($E$2:$E$46))*'Front page'!$E$14</f>
        <v>0</v>
      </c>
      <c r="Q84">
        <f t="shared" si="7"/>
        <v>0</v>
      </c>
      <c r="R84">
        <f t="shared" si="8"/>
        <v>0</v>
      </c>
      <c r="S84" s="86"/>
    </row>
    <row r="85" spans="13:19">
      <c r="M85">
        <v>340</v>
      </c>
      <c r="N85" t="s">
        <v>95</v>
      </c>
      <c r="O85">
        <f t="shared" si="6"/>
        <v>0</v>
      </c>
      <c r="P85">
        <f>SUMIF($A$2:$A$46,M85,($E$2:$E$46))*'Front page'!$E$14</f>
        <v>0</v>
      </c>
      <c r="Q85">
        <f t="shared" si="7"/>
        <v>0</v>
      </c>
      <c r="R85">
        <f t="shared" si="8"/>
        <v>0</v>
      </c>
      <c r="S85" s="86"/>
    </row>
    <row r="86" spans="13:19">
      <c r="M86">
        <v>341</v>
      </c>
      <c r="N86" t="s">
        <v>96</v>
      </c>
      <c r="O86">
        <f t="shared" si="6"/>
        <v>0</v>
      </c>
      <c r="P86">
        <f>SUMIF($A$2:$A$46,M86,($E$2:$E$46))*'Front page'!$E$14</f>
        <v>0</v>
      </c>
      <c r="Q86">
        <f t="shared" si="7"/>
        <v>0</v>
      </c>
      <c r="R86">
        <f t="shared" si="8"/>
        <v>0</v>
      </c>
      <c r="S86" s="86"/>
    </row>
    <row r="87" spans="13:19">
      <c r="M87">
        <v>342</v>
      </c>
      <c r="N87" t="s">
        <v>97</v>
      </c>
      <c r="O87">
        <f t="shared" si="6"/>
        <v>0</v>
      </c>
      <c r="P87">
        <f>SUMIF($A$2:$A$46,M87,($E$2:$E$46))*'Front page'!$E$14</f>
        <v>0</v>
      </c>
      <c r="Q87">
        <f t="shared" si="7"/>
        <v>0</v>
      </c>
      <c r="R87">
        <f t="shared" si="8"/>
        <v>0</v>
      </c>
      <c r="S87" s="86"/>
    </row>
    <row r="88" spans="13:19">
      <c r="M88">
        <v>351</v>
      </c>
      <c r="N88" t="s">
        <v>98</v>
      </c>
      <c r="O88">
        <f t="shared" si="6"/>
        <v>13.020711864406751</v>
      </c>
      <c r="P88">
        <f>SUMIF($A$2:$A$46,M88,($E$2:$E$46))*'Front page'!$E$14</f>
        <v>0</v>
      </c>
      <c r="Q88">
        <f t="shared" si="7"/>
        <v>12.40067796610167</v>
      </c>
      <c r="R88">
        <f t="shared" si="8"/>
        <v>25.421389830508421</v>
      </c>
      <c r="S88" s="86">
        <v>0.51219512195121952</v>
      </c>
    </row>
    <row r="89" spans="13:19">
      <c r="M89">
        <v>363</v>
      </c>
      <c r="N89" t="s">
        <v>99</v>
      </c>
      <c r="O89">
        <f t="shared" si="6"/>
        <v>0</v>
      </c>
      <c r="P89">
        <f>SUMIF($A$2:$A$46,M89,($E$2:$E$46))*'Front page'!$E$14</f>
        <v>0</v>
      </c>
      <c r="Q89">
        <f t="shared" si="7"/>
        <v>0</v>
      </c>
      <c r="R89">
        <f t="shared" si="8"/>
        <v>0</v>
      </c>
      <c r="S89" s="86"/>
    </row>
    <row r="90" spans="13:19">
      <c r="M90">
        <v>364</v>
      </c>
      <c r="N90" t="s">
        <v>100</v>
      </c>
      <c r="O90">
        <f t="shared" si="6"/>
        <v>0</v>
      </c>
      <c r="P90">
        <f>SUMIF($A$2:$A$46,M90,($E$2:$E$46))*'Front page'!$E$14</f>
        <v>0</v>
      </c>
      <c r="Q90">
        <f t="shared" si="7"/>
        <v>0</v>
      </c>
      <c r="R90">
        <f t="shared" si="8"/>
        <v>0</v>
      </c>
      <c r="S90" s="86"/>
    </row>
    <row r="91" spans="13:19">
      <c r="M91">
        <v>365</v>
      </c>
      <c r="N91" t="s">
        <v>101</v>
      </c>
      <c r="O91">
        <f t="shared" si="6"/>
        <v>43.498948320961446</v>
      </c>
      <c r="P91">
        <f>SUMIF($A$2:$A$46,M91,($E$2:$E$46))*'Front page'!$E$14</f>
        <v>0</v>
      </c>
      <c r="Q91">
        <f t="shared" si="7"/>
        <v>55.356293706293684</v>
      </c>
      <c r="R91">
        <f t="shared" si="8"/>
        <v>98.85524202725513</v>
      </c>
      <c r="S91" s="86">
        <v>0.4400267242173001</v>
      </c>
    </row>
    <row r="92" spans="13:19">
      <c r="M92">
        <v>370</v>
      </c>
      <c r="N92" t="s">
        <v>102</v>
      </c>
      <c r="O92">
        <f t="shared" si="6"/>
        <v>0</v>
      </c>
      <c r="P92">
        <f>SUMIF($A$2:$A$46,M92,($E$2:$E$46))*'Front page'!$E$14</f>
        <v>0</v>
      </c>
      <c r="Q92">
        <f t="shared" si="7"/>
        <v>0</v>
      </c>
      <c r="R92">
        <f t="shared" si="8"/>
        <v>0</v>
      </c>
      <c r="S92" s="86"/>
    </row>
    <row r="93" spans="13:19">
      <c r="M93">
        <v>371</v>
      </c>
      <c r="N93" t="s">
        <v>103</v>
      </c>
      <c r="O93">
        <f t="shared" si="6"/>
        <v>0</v>
      </c>
      <c r="P93">
        <f>SUMIF($A$2:$A$46,M93,($E$2:$E$46))*'Front page'!$E$14</f>
        <v>0</v>
      </c>
      <c r="Q93">
        <f t="shared" si="7"/>
        <v>0</v>
      </c>
      <c r="R93">
        <f t="shared" si="8"/>
        <v>0</v>
      </c>
      <c r="S93" s="86"/>
    </row>
    <row r="94" spans="13:19">
      <c r="M94">
        <v>372</v>
      </c>
      <c r="N94" t="s">
        <v>104</v>
      </c>
      <c r="O94">
        <f t="shared" si="6"/>
        <v>0</v>
      </c>
      <c r="P94">
        <f>SUMIF($A$2:$A$46,M94,($E$2:$E$46))*'Front page'!$E$14</f>
        <v>0</v>
      </c>
      <c r="Q94">
        <f t="shared" si="7"/>
        <v>0</v>
      </c>
      <c r="R94">
        <f t="shared" si="8"/>
        <v>0</v>
      </c>
      <c r="S94" s="86"/>
    </row>
    <row r="95" spans="13:19">
      <c r="M95">
        <v>373</v>
      </c>
      <c r="N95" t="s">
        <v>105</v>
      </c>
      <c r="O95">
        <f t="shared" si="6"/>
        <v>0</v>
      </c>
      <c r="P95">
        <f>SUMIF($A$2:$A$46,M95,($E$2:$E$46))*'Front page'!$E$14</f>
        <v>0</v>
      </c>
      <c r="Q95">
        <f t="shared" si="7"/>
        <v>0</v>
      </c>
      <c r="R95">
        <f t="shared" si="8"/>
        <v>0</v>
      </c>
      <c r="S95" s="86"/>
    </row>
    <row r="96" spans="13:19">
      <c r="M96">
        <v>381</v>
      </c>
      <c r="N96" t="s">
        <v>106</v>
      </c>
      <c r="O96">
        <f t="shared" si="6"/>
        <v>0</v>
      </c>
      <c r="P96">
        <f>SUMIF($A$2:$A$46,M96,($E$2:$E$46))*'Front page'!$E$14</f>
        <v>0</v>
      </c>
      <c r="Q96">
        <f t="shared" si="7"/>
        <v>0</v>
      </c>
      <c r="R96">
        <f t="shared" si="8"/>
        <v>0</v>
      </c>
      <c r="S96" s="86"/>
    </row>
    <row r="97" spans="13:19">
      <c r="M97">
        <v>382</v>
      </c>
      <c r="N97" t="s">
        <v>107</v>
      </c>
      <c r="O97">
        <f t="shared" si="6"/>
        <v>0</v>
      </c>
      <c r="P97">
        <f>SUMIF($A$2:$A$46,M97,($E$2:$E$46))*'Front page'!$E$14</f>
        <v>0</v>
      </c>
      <c r="Q97">
        <f t="shared" si="7"/>
        <v>0</v>
      </c>
      <c r="R97">
        <f t="shared" si="8"/>
        <v>0</v>
      </c>
      <c r="S97" s="86"/>
    </row>
    <row r="98" spans="13:19">
      <c r="M98">
        <v>383</v>
      </c>
      <c r="N98" t="s">
        <v>108</v>
      </c>
      <c r="O98">
        <f t="shared" si="6"/>
        <v>0</v>
      </c>
      <c r="P98">
        <f>SUMIF($A$2:$A$46,M98,($E$2:$E$46))*'Front page'!$E$14</f>
        <v>0</v>
      </c>
      <c r="Q98">
        <f t="shared" si="7"/>
        <v>0</v>
      </c>
      <c r="R98">
        <f t="shared" si="8"/>
        <v>0</v>
      </c>
      <c r="S98" s="86"/>
    </row>
    <row r="99" spans="13:19">
      <c r="M99">
        <v>391</v>
      </c>
      <c r="N99" t="s">
        <v>109</v>
      </c>
      <c r="O99">
        <f t="shared" si="6"/>
        <v>47.444020128265137</v>
      </c>
      <c r="P99">
        <f>SUMIF($A$2:$A$46,M99,($E$2:$E$46))*'Front page'!$E$14</f>
        <v>0</v>
      </c>
      <c r="Q99">
        <f t="shared" si="7"/>
        <v>63.531213017751469</v>
      </c>
      <c r="R99">
        <f t="shared" si="8"/>
        <v>110.97523314601661</v>
      </c>
      <c r="S99" s="86">
        <v>0.42751899485392625</v>
      </c>
    </row>
    <row r="100" spans="13:19">
      <c r="M100">
        <v>392</v>
      </c>
      <c r="N100" t="s">
        <v>110</v>
      </c>
      <c r="O100">
        <f t="shared" si="6"/>
        <v>0</v>
      </c>
      <c r="P100">
        <f>SUMIF($A$2:$A$46,M100,($E$2:$E$46))*'Front page'!$E$14</f>
        <v>0</v>
      </c>
      <c r="Q100">
        <f t="shared" si="7"/>
        <v>0</v>
      </c>
      <c r="R100">
        <f t="shared" si="8"/>
        <v>0</v>
      </c>
      <c r="S100" s="86"/>
    </row>
    <row r="101" spans="13:19">
      <c r="M101">
        <v>393</v>
      </c>
      <c r="N101" t="s">
        <v>111</v>
      </c>
      <c r="O101">
        <f t="shared" si="6"/>
        <v>0</v>
      </c>
      <c r="P101">
        <f>SUMIF($A$2:$A$46,M101,($E$2:$E$46))*'Front page'!$E$14</f>
        <v>0</v>
      </c>
      <c r="Q101">
        <f t="shared" si="7"/>
        <v>0</v>
      </c>
      <c r="R101">
        <f t="shared" si="8"/>
        <v>0</v>
      </c>
      <c r="S101" s="86"/>
    </row>
    <row r="102" spans="13:19">
      <c r="M102">
        <v>394</v>
      </c>
      <c r="N102" t="s">
        <v>112</v>
      </c>
      <c r="O102">
        <f t="shared" si="6"/>
        <v>0</v>
      </c>
      <c r="P102">
        <f>SUMIF($A$2:$A$46,M102,($E$2:$E$46))*'Front page'!$E$14</f>
        <v>0</v>
      </c>
      <c r="Q102">
        <f t="shared" si="7"/>
        <v>0</v>
      </c>
      <c r="R102">
        <f t="shared" si="8"/>
        <v>0</v>
      </c>
      <c r="S102" s="86"/>
    </row>
    <row r="103" spans="13:19">
      <c r="M103">
        <v>401</v>
      </c>
      <c r="N103" t="s">
        <v>113</v>
      </c>
      <c r="O103">
        <f t="shared" si="6"/>
        <v>0</v>
      </c>
      <c r="P103">
        <f>SUMIF($A$2:$A$46,M103,($E$2:$E$46))*'Front page'!$E$14</f>
        <v>0</v>
      </c>
      <c r="Q103">
        <f t="shared" si="7"/>
        <v>0</v>
      </c>
      <c r="R103">
        <f t="shared" si="8"/>
        <v>0</v>
      </c>
      <c r="S103" s="86"/>
    </row>
    <row r="104" spans="13:19">
      <c r="M104">
        <v>411</v>
      </c>
      <c r="N104" t="s">
        <v>114</v>
      </c>
      <c r="O104">
        <f t="shared" si="6"/>
        <v>0</v>
      </c>
      <c r="P104">
        <f>SUMIF($A$2:$A$46,M104,($E$2:$E$46))*'Front page'!$E$14</f>
        <v>0</v>
      </c>
      <c r="Q104">
        <f t="shared" si="7"/>
        <v>0</v>
      </c>
      <c r="R104">
        <f t="shared" si="8"/>
        <v>0</v>
      </c>
      <c r="S104" s="86"/>
    </row>
    <row r="105" spans="13:19">
      <c r="M105">
        <v>412</v>
      </c>
      <c r="N105" t="s">
        <v>115</v>
      </c>
      <c r="O105">
        <f t="shared" si="6"/>
        <v>0</v>
      </c>
      <c r="P105">
        <f>SUMIF($A$2:$A$46,M105,($E$2:$E$46))*'Front page'!$E$14</f>
        <v>0</v>
      </c>
      <c r="Q105">
        <f t="shared" si="7"/>
        <v>0</v>
      </c>
      <c r="R105">
        <f t="shared" si="8"/>
        <v>0</v>
      </c>
      <c r="S105" s="86"/>
    </row>
    <row r="106" spans="13:19">
      <c r="M106">
        <v>413</v>
      </c>
      <c r="N106" t="s">
        <v>116</v>
      </c>
      <c r="O106">
        <f t="shared" si="6"/>
        <v>44.736525324156268</v>
      </c>
      <c r="P106">
        <f>SUMIF($A$2:$A$46,M106,($E$2:$E$46))*'Front page'!$E$14</f>
        <v>0</v>
      </c>
      <c r="Q106">
        <f t="shared" si="7"/>
        <v>57.782830513092719</v>
      </c>
      <c r="R106">
        <f t="shared" si="8"/>
        <v>102.51935583724898</v>
      </c>
      <c r="S106" s="86">
        <v>0.43637150232563082</v>
      </c>
    </row>
    <row r="107" spans="13:19">
      <c r="M107">
        <v>414</v>
      </c>
      <c r="N107" t="s">
        <v>117</v>
      </c>
      <c r="O107">
        <f t="shared" si="6"/>
        <v>0</v>
      </c>
      <c r="P107">
        <f>SUMIF($A$2:$A$46,M107,($E$2:$E$46))*'Front page'!$E$14</f>
        <v>0</v>
      </c>
      <c r="Q107">
        <f t="shared" si="7"/>
        <v>0</v>
      </c>
      <c r="R107">
        <f t="shared" si="8"/>
        <v>0</v>
      </c>
      <c r="S107" s="86"/>
    </row>
    <row r="108" spans="13:19">
      <c r="M108">
        <v>415</v>
      </c>
      <c r="N108" t="s">
        <v>118</v>
      </c>
      <c r="O108">
        <f t="shared" si="6"/>
        <v>0</v>
      </c>
      <c r="P108">
        <f>SUMIF($A$2:$A$46,M108,($E$2:$E$46))*'Front page'!$E$14</f>
        <v>0</v>
      </c>
      <c r="Q108">
        <f t="shared" si="7"/>
        <v>0</v>
      </c>
      <c r="R108">
        <f t="shared" si="8"/>
        <v>0</v>
      </c>
      <c r="S108" s="86"/>
    </row>
    <row r="109" spans="13:19">
      <c r="M109">
        <v>416</v>
      </c>
      <c r="N109" t="s">
        <v>119</v>
      </c>
      <c r="O109">
        <f t="shared" si="6"/>
        <v>0</v>
      </c>
      <c r="P109">
        <f>SUMIF($A$2:$A$46,M109,($E$2:$E$46))*'Front page'!$E$14</f>
        <v>0</v>
      </c>
      <c r="Q109">
        <f t="shared" si="7"/>
        <v>0</v>
      </c>
      <c r="R109">
        <f t="shared" si="8"/>
        <v>0</v>
      </c>
      <c r="S109" s="86"/>
    </row>
    <row r="110" spans="13:19">
      <c r="M110">
        <v>417</v>
      </c>
      <c r="N110" t="s">
        <v>120</v>
      </c>
      <c r="O110">
        <f t="shared" si="6"/>
        <v>0</v>
      </c>
      <c r="P110">
        <f>SUMIF($A$2:$A$46,M110,($E$2:$E$46))*'Front page'!$E$14</f>
        <v>0</v>
      </c>
      <c r="Q110">
        <f t="shared" si="7"/>
        <v>0</v>
      </c>
      <c r="R110">
        <f t="shared" si="8"/>
        <v>0</v>
      </c>
      <c r="S110" s="86"/>
    </row>
    <row r="111" spans="13:19">
      <c r="M111">
        <v>418</v>
      </c>
      <c r="N111" t="s">
        <v>121</v>
      </c>
      <c r="O111">
        <f t="shared" si="6"/>
        <v>0</v>
      </c>
      <c r="P111">
        <f>SUMIF($A$2:$A$46,M111,($E$2:$E$46))*'Front page'!$E$14</f>
        <v>0</v>
      </c>
      <c r="Q111">
        <f t="shared" si="7"/>
        <v>0</v>
      </c>
      <c r="R111">
        <f t="shared" si="8"/>
        <v>0</v>
      </c>
      <c r="S111" s="86"/>
    </row>
    <row r="112" spans="13:19">
      <c r="M112">
        <v>421</v>
      </c>
      <c r="N112" t="s">
        <v>122</v>
      </c>
      <c r="O112">
        <f t="shared" si="6"/>
        <v>47.456426908108227</v>
      </c>
      <c r="P112">
        <f>SUMIF($A$2:$A$46,M112,($E$2:$E$46))*'Front page'!$E$14</f>
        <v>0</v>
      </c>
      <c r="Q112">
        <f t="shared" si="7"/>
        <v>156.440808001422</v>
      </c>
      <c r="R112">
        <f t="shared" si="8"/>
        <v>203.89723490953023</v>
      </c>
      <c r="S112" s="86">
        <v>0.23274678996586087</v>
      </c>
    </row>
    <row r="113" spans="13:19">
      <c r="M113">
        <v>422</v>
      </c>
      <c r="N113" t="s">
        <v>123</v>
      </c>
      <c r="O113">
        <f t="shared" si="6"/>
        <v>0</v>
      </c>
      <c r="P113">
        <f>SUMIF($A$2:$A$46,M113,($E$2:$E$46))*'Front page'!$E$14</f>
        <v>0</v>
      </c>
      <c r="Q113">
        <f t="shared" si="7"/>
        <v>0</v>
      </c>
      <c r="R113">
        <f t="shared" si="8"/>
        <v>0</v>
      </c>
      <c r="S113" s="86"/>
    </row>
    <row r="114" spans="13:19">
      <c r="M114">
        <v>431</v>
      </c>
      <c r="N114" t="s">
        <v>124</v>
      </c>
      <c r="O114">
        <f t="shared" si="6"/>
        <v>0</v>
      </c>
      <c r="P114">
        <f>SUMIF($A$2:$A$46,M114,($E$2:$E$46))*'Front page'!$E$14</f>
        <v>0</v>
      </c>
      <c r="Q114">
        <f t="shared" si="7"/>
        <v>0</v>
      </c>
      <c r="R114">
        <f t="shared" si="8"/>
        <v>0</v>
      </c>
      <c r="S114" s="86"/>
    </row>
    <row r="115" spans="13:19">
      <c r="M115">
        <v>432</v>
      </c>
      <c r="N115" t="s">
        <v>125</v>
      </c>
      <c r="O115">
        <f t="shared" si="6"/>
        <v>0</v>
      </c>
      <c r="P115">
        <f>SUMIF($A$2:$A$46,M115,($E$2:$E$46))*'Front page'!$E$14</f>
        <v>0</v>
      </c>
      <c r="Q115">
        <f t="shared" si="7"/>
        <v>0</v>
      </c>
      <c r="R115">
        <f t="shared" si="8"/>
        <v>0</v>
      </c>
      <c r="S115" s="86"/>
    </row>
    <row r="116" spans="13:19">
      <c r="M116">
        <v>433</v>
      </c>
      <c r="N116" t="s">
        <v>126</v>
      </c>
      <c r="O116">
        <f t="shared" si="6"/>
        <v>0</v>
      </c>
      <c r="P116">
        <f>SUMIF($A$2:$A$46,M116,($E$2:$E$46))*'Front page'!$E$14</f>
        <v>0</v>
      </c>
      <c r="Q116">
        <f t="shared" si="7"/>
        <v>0</v>
      </c>
      <c r="R116">
        <f t="shared" si="8"/>
        <v>0</v>
      </c>
      <c r="S116" s="86"/>
    </row>
    <row r="117" spans="13:19">
      <c r="M117">
        <v>451</v>
      </c>
      <c r="N117" t="s">
        <v>127</v>
      </c>
      <c r="O117">
        <f t="shared" si="6"/>
        <v>0</v>
      </c>
      <c r="P117">
        <f>SUMIF($A$2:$A$46,M117,($E$2:$E$46))*'Front page'!$E$14</f>
        <v>0</v>
      </c>
      <c r="Q117">
        <f t="shared" si="7"/>
        <v>0</v>
      </c>
      <c r="R117">
        <f t="shared" si="8"/>
        <v>0</v>
      </c>
      <c r="S117" s="86"/>
    </row>
    <row r="118" spans="13:19">
      <c r="M118">
        <v>452</v>
      </c>
      <c r="N118" t="s">
        <v>128</v>
      </c>
      <c r="O118">
        <f t="shared" si="6"/>
        <v>0</v>
      </c>
      <c r="P118">
        <f>SUMIF($A$2:$A$46,M118,($E$2:$E$46))*'Front page'!$E$14</f>
        <v>0</v>
      </c>
      <c r="Q118">
        <f t="shared" si="7"/>
        <v>0</v>
      </c>
      <c r="R118">
        <f t="shared" si="8"/>
        <v>0</v>
      </c>
      <c r="S118" s="86"/>
    </row>
    <row r="119" spans="13:19">
      <c r="M119">
        <v>453</v>
      </c>
      <c r="N119" t="s">
        <v>129</v>
      </c>
      <c r="O119">
        <f t="shared" si="6"/>
        <v>0</v>
      </c>
      <c r="P119">
        <f>SUMIF($A$2:$A$46,M119,($E$2:$E$46))*'Front page'!$E$14</f>
        <v>0</v>
      </c>
      <c r="Q119">
        <f t="shared" si="7"/>
        <v>0</v>
      </c>
      <c r="R119">
        <f t="shared" si="8"/>
        <v>0</v>
      </c>
      <c r="S119" s="86"/>
    </row>
    <row r="120" spans="13:19">
      <c r="M120">
        <v>454</v>
      </c>
      <c r="N120" t="s">
        <v>130</v>
      </c>
      <c r="O120">
        <f t="shared" si="6"/>
        <v>0</v>
      </c>
      <c r="P120">
        <f>SUMIF($A$2:$A$46,M120,($E$2:$E$46))*'Front page'!$E$14</f>
        <v>0</v>
      </c>
      <c r="Q120">
        <f t="shared" si="7"/>
        <v>0</v>
      </c>
      <c r="R120">
        <f t="shared" si="8"/>
        <v>0</v>
      </c>
      <c r="S120" s="86"/>
    </row>
    <row r="121" spans="13:19">
      <c r="M121">
        <v>455</v>
      </c>
      <c r="N121" t="s">
        <v>131</v>
      </c>
      <c r="O121">
        <f t="shared" si="6"/>
        <v>0</v>
      </c>
      <c r="P121">
        <f>SUMIF($A$2:$A$46,M121,($E$2:$E$46))*'Front page'!$E$14</f>
        <v>0</v>
      </c>
      <c r="Q121">
        <f t="shared" si="7"/>
        <v>0</v>
      </c>
      <c r="R121">
        <f t="shared" si="8"/>
        <v>0</v>
      </c>
      <c r="S121" s="86"/>
    </row>
    <row r="122" spans="13:19">
      <c r="M122">
        <v>456</v>
      </c>
      <c r="N122" t="s">
        <v>132</v>
      </c>
      <c r="O122">
        <f t="shared" si="6"/>
        <v>0</v>
      </c>
      <c r="P122">
        <f>SUMIF($A$2:$A$46,M122,($E$2:$E$46))*'Front page'!$E$14</f>
        <v>0</v>
      </c>
      <c r="Q122">
        <f t="shared" si="7"/>
        <v>0</v>
      </c>
      <c r="R122">
        <f t="shared" si="8"/>
        <v>0</v>
      </c>
      <c r="S122" s="86"/>
    </row>
    <row r="123" spans="13:19">
      <c r="M123">
        <v>457</v>
      </c>
      <c r="N123" t="s">
        <v>133</v>
      </c>
      <c r="O123">
        <f t="shared" si="6"/>
        <v>0</v>
      </c>
      <c r="P123">
        <f>SUMIF($A$2:$A$46,M123,($E$2:$E$46))*'Front page'!$E$14</f>
        <v>0</v>
      </c>
      <c r="Q123">
        <f t="shared" si="7"/>
        <v>0</v>
      </c>
      <c r="R123">
        <f t="shared" si="8"/>
        <v>0</v>
      </c>
      <c r="S123" s="86"/>
    </row>
    <row r="124" spans="13:19">
      <c r="M124">
        <v>458</v>
      </c>
      <c r="N124" t="s">
        <v>134</v>
      </c>
      <c r="O124">
        <f t="shared" si="6"/>
        <v>0</v>
      </c>
      <c r="P124">
        <f>SUMIF($A$2:$A$46,M124,($E$2:$E$46))*'Front page'!$E$14</f>
        <v>0</v>
      </c>
      <c r="Q124">
        <f t="shared" si="7"/>
        <v>0</v>
      </c>
      <c r="R124">
        <f t="shared" si="8"/>
        <v>0</v>
      </c>
      <c r="S124" s="86"/>
    </row>
    <row r="125" spans="13:19">
      <c r="M125">
        <v>460</v>
      </c>
      <c r="N125" t="s">
        <v>135</v>
      </c>
      <c r="O125">
        <f t="shared" si="6"/>
        <v>0</v>
      </c>
      <c r="P125">
        <f>SUMIF($A$2:$A$46,M125,($E$2:$E$46))*'Front page'!$E$14</f>
        <v>0</v>
      </c>
      <c r="Q125">
        <f t="shared" si="7"/>
        <v>0</v>
      </c>
      <c r="R125">
        <f t="shared" si="8"/>
        <v>0</v>
      </c>
      <c r="S125" s="86"/>
    </row>
    <row r="126" spans="13:19">
      <c r="M126">
        <v>461</v>
      </c>
      <c r="N126" t="s">
        <v>136</v>
      </c>
      <c r="O126">
        <f t="shared" si="6"/>
        <v>0</v>
      </c>
      <c r="P126">
        <f>SUMIF($A$2:$A$46,M126,($E$2:$E$46))*'Front page'!$E$14</f>
        <v>0</v>
      </c>
      <c r="Q126">
        <f t="shared" si="7"/>
        <v>0</v>
      </c>
      <c r="R126">
        <f t="shared" si="8"/>
        <v>0</v>
      </c>
      <c r="S126" s="86"/>
    </row>
    <row r="127" spans="13:19">
      <c r="M127">
        <v>462</v>
      </c>
      <c r="N127" t="s">
        <v>137</v>
      </c>
      <c r="O127">
        <f t="shared" si="6"/>
        <v>0</v>
      </c>
      <c r="P127">
        <f>SUMIF($A$2:$A$46,M127,($E$2:$E$46))*'Front page'!$E$14</f>
        <v>0</v>
      </c>
      <c r="Q127">
        <f t="shared" si="7"/>
        <v>0</v>
      </c>
      <c r="R127">
        <f t="shared" si="8"/>
        <v>0</v>
      </c>
      <c r="S127" s="86"/>
    </row>
    <row r="128" spans="13:19">
      <c r="M128">
        <v>463</v>
      </c>
      <c r="N128" t="s">
        <v>138</v>
      </c>
      <c r="O128">
        <f t="shared" si="6"/>
        <v>0</v>
      </c>
      <c r="P128">
        <f>SUMIF($A$2:$A$46,M128,($E$2:$E$46))*'Front page'!$E$14</f>
        <v>0</v>
      </c>
      <c r="Q128">
        <f t="shared" si="7"/>
        <v>0</v>
      </c>
      <c r="R128">
        <f t="shared" si="8"/>
        <v>0</v>
      </c>
      <c r="S128" s="86"/>
    </row>
    <row r="129" spans="13:19">
      <c r="M129">
        <v>464</v>
      </c>
      <c r="N129" t="s">
        <v>139</v>
      </c>
      <c r="O129">
        <f t="shared" si="6"/>
        <v>0</v>
      </c>
      <c r="P129">
        <f>SUMIF($A$2:$A$46,M129,($E$2:$E$46))*'Front page'!$E$14</f>
        <v>0</v>
      </c>
      <c r="Q129">
        <f t="shared" si="7"/>
        <v>0</v>
      </c>
      <c r="R129">
        <f t="shared" si="8"/>
        <v>0</v>
      </c>
      <c r="S129" s="86"/>
    </row>
    <row r="130" spans="13:19">
      <c r="M130">
        <v>465</v>
      </c>
      <c r="N130" t="s">
        <v>140</v>
      </c>
      <c r="O130">
        <f t="shared" si="6"/>
        <v>0</v>
      </c>
      <c r="P130">
        <f>SUMIF($A$2:$A$46,M130,($E$2:$E$46))*'Front page'!$E$14</f>
        <v>0</v>
      </c>
      <c r="Q130">
        <f t="shared" si="7"/>
        <v>0</v>
      </c>
      <c r="R130">
        <f t="shared" si="8"/>
        <v>0</v>
      </c>
      <c r="S130" s="86"/>
    </row>
    <row r="131" spans="13:19">
      <c r="M131">
        <v>466</v>
      </c>
      <c r="N131" t="s">
        <v>141</v>
      </c>
      <c r="O131">
        <f t="shared" ref="O131:O174" si="9">SUMIF($A$2:$A$46,M131,$K$2:$K$46)</f>
        <v>0</v>
      </c>
      <c r="P131">
        <f>SUMIF($A$2:$A$46,M131,($E$2:$E$46))*'Front page'!$E$14</f>
        <v>0</v>
      </c>
      <c r="Q131">
        <f t="shared" ref="Q131:Q174" si="10">SUMIF($A$2:$A$46,M131,$E$2:$E$46)</f>
        <v>0</v>
      </c>
      <c r="R131">
        <f t="shared" ref="R131:R174" si="11">O131+Q131</f>
        <v>0</v>
      </c>
      <c r="S131" s="86"/>
    </row>
    <row r="132" spans="13:19">
      <c r="M132">
        <v>468</v>
      </c>
      <c r="N132" t="s">
        <v>142</v>
      </c>
      <c r="O132">
        <f t="shared" si="9"/>
        <v>0</v>
      </c>
      <c r="P132">
        <f>SUMIF($A$2:$A$46,M132,($E$2:$E$46))*'Front page'!$E$14</f>
        <v>0</v>
      </c>
      <c r="Q132">
        <f t="shared" si="10"/>
        <v>0</v>
      </c>
      <c r="R132">
        <f t="shared" si="11"/>
        <v>0</v>
      </c>
      <c r="S132" s="86"/>
    </row>
    <row r="133" spans="13:19">
      <c r="M133">
        <v>469</v>
      </c>
      <c r="N133" t="s">
        <v>143</v>
      </c>
      <c r="O133">
        <f t="shared" si="9"/>
        <v>0</v>
      </c>
      <c r="P133">
        <f>SUMIF($A$2:$A$46,M133,($E$2:$E$46))*'Front page'!$E$14</f>
        <v>0</v>
      </c>
      <c r="Q133">
        <f t="shared" si="10"/>
        <v>0</v>
      </c>
      <c r="R133">
        <f t="shared" si="11"/>
        <v>0</v>
      </c>
      <c r="S133" s="86"/>
    </row>
    <row r="134" spans="13:19">
      <c r="M134">
        <v>470</v>
      </c>
      <c r="N134" t="s">
        <v>144</v>
      </c>
      <c r="O134">
        <f t="shared" si="9"/>
        <v>0</v>
      </c>
      <c r="P134">
        <f>SUMIF($A$2:$A$46,M134,($E$2:$E$46))*'Front page'!$E$14</f>
        <v>0</v>
      </c>
      <c r="Q134">
        <f t="shared" si="10"/>
        <v>0</v>
      </c>
      <c r="R134">
        <f t="shared" si="11"/>
        <v>0</v>
      </c>
      <c r="S134" s="86"/>
    </row>
    <row r="135" spans="13:19">
      <c r="M135">
        <v>472</v>
      </c>
      <c r="N135" t="s">
        <v>145</v>
      </c>
      <c r="O135">
        <f t="shared" si="9"/>
        <v>0</v>
      </c>
      <c r="P135">
        <f>SUMIF($A$2:$A$46,M135,($E$2:$E$46))*'Front page'!$E$14</f>
        <v>0</v>
      </c>
      <c r="Q135">
        <f t="shared" si="10"/>
        <v>0</v>
      </c>
      <c r="R135">
        <f t="shared" si="11"/>
        <v>0</v>
      </c>
      <c r="S135" s="86"/>
    </row>
    <row r="136" spans="13:19">
      <c r="M136">
        <v>473</v>
      </c>
      <c r="N136" t="s">
        <v>146</v>
      </c>
      <c r="O136">
        <f t="shared" si="9"/>
        <v>0</v>
      </c>
      <c r="P136">
        <f>SUMIF($A$2:$A$46,M136,($E$2:$E$46))*'Front page'!$E$14</f>
        <v>0</v>
      </c>
      <c r="Q136">
        <f t="shared" si="10"/>
        <v>0</v>
      </c>
      <c r="R136">
        <f t="shared" si="11"/>
        <v>0</v>
      </c>
      <c r="S136" s="86"/>
    </row>
    <row r="137" spans="13:19">
      <c r="M137">
        <v>474</v>
      </c>
      <c r="N137" t="s">
        <v>147</v>
      </c>
      <c r="O137">
        <f t="shared" si="9"/>
        <v>0</v>
      </c>
      <c r="P137">
        <f>SUMIF($A$2:$A$46,M137,($E$2:$E$46))*'Front page'!$E$14</f>
        <v>0</v>
      </c>
      <c r="Q137">
        <f t="shared" si="10"/>
        <v>0</v>
      </c>
      <c r="R137">
        <f t="shared" si="11"/>
        <v>0</v>
      </c>
      <c r="S137" s="86"/>
    </row>
    <row r="138" spans="13:19">
      <c r="M138">
        <v>475</v>
      </c>
      <c r="N138" t="s">
        <v>148</v>
      </c>
      <c r="O138">
        <f t="shared" si="9"/>
        <v>0</v>
      </c>
      <c r="P138">
        <f>SUMIF($A$2:$A$46,M138,($E$2:$E$46))*'Front page'!$E$14</f>
        <v>0</v>
      </c>
      <c r="Q138">
        <f t="shared" si="10"/>
        <v>0</v>
      </c>
      <c r="R138">
        <f t="shared" si="11"/>
        <v>0</v>
      </c>
      <c r="S138" s="86"/>
    </row>
    <row r="139" spans="13:19">
      <c r="M139">
        <v>476</v>
      </c>
      <c r="N139" t="s">
        <v>149</v>
      </c>
      <c r="O139">
        <f t="shared" si="9"/>
        <v>0</v>
      </c>
      <c r="P139">
        <f>SUMIF($A$2:$A$46,M139,($E$2:$E$46))*'Front page'!$E$14</f>
        <v>0</v>
      </c>
      <c r="Q139">
        <f t="shared" si="10"/>
        <v>0</v>
      </c>
      <c r="R139">
        <f t="shared" si="11"/>
        <v>0</v>
      </c>
      <c r="S139" s="86"/>
    </row>
    <row r="140" spans="13:19">
      <c r="M140">
        <v>477</v>
      </c>
      <c r="N140" t="s">
        <v>150</v>
      </c>
      <c r="O140">
        <f t="shared" si="9"/>
        <v>0</v>
      </c>
      <c r="P140">
        <f>SUMIF($A$2:$A$46,M140,($E$2:$E$46))*'Front page'!$E$14</f>
        <v>0</v>
      </c>
      <c r="Q140">
        <f t="shared" si="10"/>
        <v>0</v>
      </c>
      <c r="R140">
        <f t="shared" si="11"/>
        <v>0</v>
      </c>
      <c r="S140" s="86"/>
    </row>
    <row r="141" spans="13:19">
      <c r="M141">
        <v>478</v>
      </c>
      <c r="N141" t="s">
        <v>151</v>
      </c>
      <c r="O141">
        <f t="shared" si="9"/>
        <v>0</v>
      </c>
      <c r="P141">
        <f>SUMIF($A$2:$A$46,M141,($E$2:$E$46))*'Front page'!$E$14</f>
        <v>0</v>
      </c>
      <c r="Q141">
        <f t="shared" si="10"/>
        <v>0</v>
      </c>
      <c r="R141">
        <f t="shared" si="11"/>
        <v>0</v>
      </c>
      <c r="S141" s="86"/>
    </row>
    <row r="142" spans="13:19">
      <c r="M142">
        <v>479</v>
      </c>
      <c r="N142" t="s">
        <v>152</v>
      </c>
      <c r="O142">
        <f t="shared" si="9"/>
        <v>0</v>
      </c>
      <c r="P142">
        <f>SUMIF($A$2:$A$46,M142,($E$2:$E$46))*'Front page'!$E$14</f>
        <v>0</v>
      </c>
      <c r="Q142">
        <f t="shared" si="10"/>
        <v>0</v>
      </c>
      <c r="R142">
        <f t="shared" si="11"/>
        <v>0</v>
      </c>
      <c r="S142" s="86"/>
    </row>
    <row r="143" spans="13:19">
      <c r="M143">
        <v>480</v>
      </c>
      <c r="N143" t="s">
        <v>153</v>
      </c>
      <c r="O143">
        <f t="shared" si="9"/>
        <v>0</v>
      </c>
      <c r="P143">
        <f>SUMIF($A$2:$A$46,M143,($E$2:$E$46))*'Front page'!$E$14</f>
        <v>0</v>
      </c>
      <c r="Q143">
        <f t="shared" si="10"/>
        <v>0</v>
      </c>
      <c r="R143">
        <f t="shared" si="11"/>
        <v>0</v>
      </c>
      <c r="S143" s="86"/>
    </row>
    <row r="144" spans="13:19">
      <c r="M144">
        <v>481</v>
      </c>
      <c r="N144" t="s">
        <v>154</v>
      </c>
      <c r="O144">
        <f t="shared" si="9"/>
        <v>0</v>
      </c>
      <c r="P144">
        <f>SUMIF($A$2:$A$46,M144,($E$2:$E$46))*'Front page'!$E$14</f>
        <v>0</v>
      </c>
      <c r="Q144">
        <f t="shared" si="10"/>
        <v>0</v>
      </c>
      <c r="R144">
        <f t="shared" si="11"/>
        <v>0</v>
      </c>
      <c r="S144" s="86"/>
    </row>
    <row r="145" spans="13:19">
      <c r="M145">
        <v>482</v>
      </c>
      <c r="N145" t="s">
        <v>155</v>
      </c>
      <c r="O145">
        <f t="shared" si="9"/>
        <v>0</v>
      </c>
      <c r="P145">
        <f>SUMIF($A$2:$A$46,M145,($E$2:$E$46))*'Front page'!$E$14</f>
        <v>0</v>
      </c>
      <c r="Q145">
        <f t="shared" si="10"/>
        <v>0</v>
      </c>
      <c r="R145">
        <f t="shared" si="11"/>
        <v>0</v>
      </c>
      <c r="S145" s="86"/>
    </row>
    <row r="146" spans="13:19">
      <c r="M146">
        <v>483</v>
      </c>
      <c r="N146" t="s">
        <v>156</v>
      </c>
      <c r="O146">
        <f t="shared" si="9"/>
        <v>0</v>
      </c>
      <c r="P146">
        <f>SUMIF($A$2:$A$46,M146,($E$2:$E$46))*'Front page'!$E$14</f>
        <v>0</v>
      </c>
      <c r="Q146">
        <f t="shared" si="10"/>
        <v>0</v>
      </c>
      <c r="R146">
        <f t="shared" si="11"/>
        <v>0</v>
      </c>
      <c r="S146" s="86"/>
    </row>
    <row r="147" spans="13:19">
      <c r="M147">
        <v>485</v>
      </c>
      <c r="N147" t="s">
        <v>157</v>
      </c>
      <c r="O147">
        <f t="shared" si="9"/>
        <v>0</v>
      </c>
      <c r="P147">
        <f>SUMIF($A$2:$A$46,M147,($E$2:$E$46))*'Front page'!$E$14</f>
        <v>0</v>
      </c>
      <c r="Q147">
        <f t="shared" si="10"/>
        <v>0</v>
      </c>
      <c r="R147">
        <f t="shared" si="11"/>
        <v>0</v>
      </c>
      <c r="S147" s="86"/>
    </row>
    <row r="148" spans="13:19">
      <c r="M148">
        <v>486</v>
      </c>
      <c r="N148" t="s">
        <v>158</v>
      </c>
      <c r="O148">
        <f t="shared" si="9"/>
        <v>0</v>
      </c>
      <c r="P148">
        <f>SUMIF($A$2:$A$46,M148,($E$2:$E$46))*'Front page'!$E$14</f>
        <v>0</v>
      </c>
      <c r="Q148">
        <f t="shared" si="10"/>
        <v>0</v>
      </c>
      <c r="R148">
        <f t="shared" si="11"/>
        <v>0</v>
      </c>
      <c r="S148" s="86"/>
    </row>
    <row r="149" spans="13:19">
      <c r="M149">
        <v>487</v>
      </c>
      <c r="N149" t="s">
        <v>159</v>
      </c>
      <c r="O149">
        <f t="shared" si="9"/>
        <v>0</v>
      </c>
      <c r="P149">
        <f>SUMIF($A$2:$A$46,M149,($E$2:$E$46))*'Front page'!$E$14</f>
        <v>0</v>
      </c>
      <c r="Q149">
        <f t="shared" si="10"/>
        <v>0</v>
      </c>
      <c r="R149">
        <f t="shared" si="11"/>
        <v>0</v>
      </c>
      <c r="S149" s="86"/>
    </row>
    <row r="150" spans="13:19">
      <c r="M150">
        <v>488</v>
      </c>
      <c r="N150" t="s">
        <v>160</v>
      </c>
      <c r="O150">
        <f t="shared" si="9"/>
        <v>0</v>
      </c>
      <c r="P150">
        <f>SUMIF($A$2:$A$46,M150,($E$2:$E$46))*'Front page'!$E$14</f>
        <v>0</v>
      </c>
      <c r="Q150">
        <f t="shared" si="10"/>
        <v>0</v>
      </c>
      <c r="R150">
        <f t="shared" si="11"/>
        <v>0</v>
      </c>
      <c r="S150" s="86"/>
    </row>
    <row r="151" spans="13:19">
      <c r="M151">
        <v>489</v>
      </c>
      <c r="N151" t="s">
        <v>161</v>
      </c>
      <c r="O151">
        <f t="shared" si="9"/>
        <v>0</v>
      </c>
      <c r="P151">
        <f>SUMIF($A$2:$A$46,M151,($E$2:$E$46))*'Front page'!$E$14</f>
        <v>0</v>
      </c>
      <c r="Q151">
        <f t="shared" si="10"/>
        <v>0</v>
      </c>
      <c r="R151">
        <f t="shared" si="11"/>
        <v>0</v>
      </c>
      <c r="S151" s="86"/>
    </row>
    <row r="152" spans="13:19">
      <c r="M152">
        <v>490</v>
      </c>
      <c r="N152" t="s">
        <v>162</v>
      </c>
      <c r="O152">
        <f t="shared" si="9"/>
        <v>0</v>
      </c>
      <c r="P152">
        <f>SUMIF($A$2:$A$46,M152,($E$2:$E$46))*'Front page'!$E$14</f>
        <v>0</v>
      </c>
      <c r="Q152">
        <f t="shared" si="10"/>
        <v>0</v>
      </c>
      <c r="R152">
        <f t="shared" si="11"/>
        <v>0</v>
      </c>
      <c r="S152" s="86"/>
    </row>
    <row r="153" spans="13:19">
      <c r="M153">
        <v>491</v>
      </c>
      <c r="N153" t="s">
        <v>163</v>
      </c>
      <c r="O153">
        <f t="shared" si="9"/>
        <v>0</v>
      </c>
      <c r="P153">
        <f>SUMIF($A$2:$A$46,M153,($E$2:$E$46))*'Front page'!$E$14</f>
        <v>0</v>
      </c>
      <c r="Q153">
        <f t="shared" si="10"/>
        <v>0</v>
      </c>
      <c r="R153">
        <f t="shared" si="11"/>
        <v>0</v>
      </c>
      <c r="S153" s="86"/>
    </row>
    <row r="154" spans="13:19">
      <c r="M154">
        <v>492</v>
      </c>
      <c r="N154" t="s">
        <v>164</v>
      </c>
      <c r="O154">
        <f t="shared" si="9"/>
        <v>0</v>
      </c>
      <c r="P154">
        <f>SUMIF($A$2:$A$46,M154,($E$2:$E$46))*'Front page'!$E$14</f>
        <v>0</v>
      </c>
      <c r="Q154">
        <f t="shared" si="10"/>
        <v>0</v>
      </c>
      <c r="R154">
        <f t="shared" si="11"/>
        <v>0</v>
      </c>
      <c r="S154" s="86"/>
    </row>
    <row r="155" spans="13:19">
      <c r="M155">
        <v>493</v>
      </c>
      <c r="N155" t="s">
        <v>165</v>
      </c>
      <c r="O155">
        <f t="shared" si="9"/>
        <v>0</v>
      </c>
      <c r="P155">
        <f>SUMIF($A$2:$A$46,M155,($E$2:$E$46))*'Front page'!$E$14</f>
        <v>0</v>
      </c>
      <c r="Q155">
        <f t="shared" si="10"/>
        <v>0</v>
      </c>
      <c r="R155">
        <f t="shared" si="11"/>
        <v>0</v>
      </c>
      <c r="S155" s="86"/>
    </row>
    <row r="156" spans="13:19">
      <c r="M156">
        <v>494</v>
      </c>
      <c r="N156" t="s">
        <v>166</v>
      </c>
      <c r="O156">
        <f t="shared" si="9"/>
        <v>0</v>
      </c>
      <c r="P156">
        <f>SUMIF($A$2:$A$46,M156,($E$2:$E$46))*'Front page'!$E$14</f>
        <v>0</v>
      </c>
      <c r="Q156">
        <f t="shared" si="10"/>
        <v>0</v>
      </c>
      <c r="R156">
        <f t="shared" si="11"/>
        <v>0</v>
      </c>
      <c r="S156" s="86"/>
    </row>
    <row r="157" spans="13:19">
      <c r="M157">
        <v>495</v>
      </c>
      <c r="N157" t="s">
        <v>167</v>
      </c>
      <c r="O157">
        <f t="shared" si="9"/>
        <v>0</v>
      </c>
      <c r="P157">
        <f>SUMIF($A$2:$A$46,M157,($E$2:$E$46))*'Front page'!$E$14</f>
        <v>0</v>
      </c>
      <c r="Q157">
        <f t="shared" si="10"/>
        <v>0</v>
      </c>
      <c r="R157">
        <f t="shared" si="11"/>
        <v>0</v>
      </c>
      <c r="S157" s="86"/>
    </row>
    <row r="158" spans="13:19">
      <c r="M158">
        <v>496</v>
      </c>
      <c r="N158" t="s">
        <v>168</v>
      </c>
      <c r="O158">
        <f t="shared" si="9"/>
        <v>0</v>
      </c>
      <c r="P158">
        <f>SUMIF($A$2:$A$46,M158,($E$2:$E$46))*'Front page'!$E$14</f>
        <v>0</v>
      </c>
      <c r="Q158">
        <f t="shared" si="10"/>
        <v>0</v>
      </c>
      <c r="R158">
        <f t="shared" si="11"/>
        <v>0</v>
      </c>
      <c r="S158" s="86"/>
    </row>
    <row r="159" spans="13:19">
      <c r="M159">
        <v>497</v>
      </c>
      <c r="N159" t="s">
        <v>169</v>
      </c>
      <c r="O159">
        <f t="shared" si="9"/>
        <v>0</v>
      </c>
      <c r="P159">
        <f>SUMIF($A$2:$A$46,M159,($E$2:$E$46))*'Front page'!$E$14</f>
        <v>0</v>
      </c>
      <c r="Q159">
        <f t="shared" si="10"/>
        <v>0</v>
      </c>
      <c r="R159">
        <f t="shared" si="11"/>
        <v>0</v>
      </c>
      <c r="S159" s="86"/>
    </row>
    <row r="160" spans="13:19">
      <c r="M160">
        <v>498</v>
      </c>
      <c r="N160" t="s">
        <v>631</v>
      </c>
      <c r="O160">
        <f t="shared" ref="O160:O164" si="12">SUMIF($A$2:$A$46,M160,$K$2:$K$46)</f>
        <v>0</v>
      </c>
      <c r="P160">
        <f>SUMIF($A$2:$A$46,M160,($E$2:$E$46))*'Front page'!$E$14</f>
        <v>0</v>
      </c>
      <c r="Q160">
        <f t="shared" ref="Q160:Q164" si="13">SUMIF($A$2:$A$46,M160,$E$2:$E$46)</f>
        <v>0</v>
      </c>
      <c r="R160">
        <f t="shared" ref="R160:R164" si="14">O160+Q160</f>
        <v>0</v>
      </c>
      <c r="S160" s="86"/>
    </row>
    <row r="161" spans="13:19">
      <c r="M161">
        <v>499</v>
      </c>
      <c r="N161" t="s">
        <v>632</v>
      </c>
      <c r="O161">
        <f t="shared" si="12"/>
        <v>0</v>
      </c>
      <c r="P161">
        <f>SUMIF($A$2:$A$46,M161,($E$2:$E$46))*'Front page'!$E$14</f>
        <v>0</v>
      </c>
      <c r="Q161">
        <f t="shared" si="13"/>
        <v>0</v>
      </c>
      <c r="R161">
        <f t="shared" si="14"/>
        <v>0</v>
      </c>
      <c r="S161" s="86"/>
    </row>
    <row r="162" spans="13:19">
      <c r="M162">
        <v>511</v>
      </c>
      <c r="N162" t="s">
        <v>633</v>
      </c>
      <c r="O162">
        <f t="shared" si="12"/>
        <v>0</v>
      </c>
      <c r="P162">
        <f>SUMIF($A$2:$A$46,M162,($E$2:$E$46))*'Front page'!$E$14</f>
        <v>0</v>
      </c>
      <c r="Q162">
        <f t="shared" si="13"/>
        <v>0</v>
      </c>
      <c r="R162">
        <f t="shared" si="14"/>
        <v>0</v>
      </c>
      <c r="S162" s="86"/>
    </row>
    <row r="163" spans="13:19">
      <c r="M163">
        <v>513</v>
      </c>
      <c r="N163" t="s">
        <v>634</v>
      </c>
      <c r="O163">
        <f t="shared" si="12"/>
        <v>0</v>
      </c>
      <c r="P163">
        <f>SUMIF($A$2:$A$46,M163,($E$2:$E$46))*'Front page'!$E$14</f>
        <v>0</v>
      </c>
      <c r="Q163">
        <f t="shared" si="13"/>
        <v>0</v>
      </c>
      <c r="R163">
        <f t="shared" si="14"/>
        <v>0</v>
      </c>
      <c r="S163" s="86"/>
    </row>
    <row r="164" spans="13:19">
      <c r="M164">
        <v>518</v>
      </c>
      <c r="N164" t="s">
        <v>635</v>
      </c>
      <c r="O164">
        <f t="shared" si="12"/>
        <v>0</v>
      </c>
      <c r="P164">
        <f>SUMIF($A$2:$A$46,M164,($E$2:$E$46))*'Front page'!$E$14</f>
        <v>0</v>
      </c>
      <c r="Q164">
        <f t="shared" si="13"/>
        <v>0</v>
      </c>
      <c r="R164">
        <f t="shared" si="14"/>
        <v>0</v>
      </c>
      <c r="S164" s="86"/>
    </row>
    <row r="165" spans="13:19">
      <c r="M165">
        <v>555</v>
      </c>
      <c r="N165" t="s">
        <v>170</v>
      </c>
      <c r="O165">
        <f t="shared" si="9"/>
        <v>0</v>
      </c>
      <c r="P165">
        <f>SUMIF($A$2:$A$46,M165,($E$2:$E$46))*'Front page'!$E$14</f>
        <v>0</v>
      </c>
      <c r="Q165">
        <f t="shared" si="10"/>
        <v>0</v>
      </c>
      <c r="R165">
        <f t="shared" si="11"/>
        <v>0</v>
      </c>
      <c r="S165" s="86"/>
    </row>
    <row r="166" spans="13:19">
      <c r="M166">
        <v>559</v>
      </c>
      <c r="N166" t="s">
        <v>171</v>
      </c>
      <c r="O166">
        <f t="shared" si="9"/>
        <v>0</v>
      </c>
      <c r="P166">
        <f>SUMIF($A$2:$A$46,M166,($E$2:$E$46))*'Front page'!$E$14</f>
        <v>0</v>
      </c>
      <c r="Q166">
        <f t="shared" si="10"/>
        <v>0</v>
      </c>
      <c r="R166">
        <f t="shared" si="11"/>
        <v>0</v>
      </c>
      <c r="S166" s="86"/>
    </row>
    <row r="167" spans="13:19">
      <c r="M167">
        <v>751</v>
      </c>
      <c r="N167" t="s">
        <v>172</v>
      </c>
      <c r="O167">
        <f t="shared" si="9"/>
        <v>0</v>
      </c>
      <c r="P167">
        <f>SUMIF($A$2:$A$46,M167,($E$2:$E$46))*'Front page'!$E$14</f>
        <v>0</v>
      </c>
      <c r="Q167">
        <f t="shared" si="10"/>
        <v>0</v>
      </c>
      <c r="R167">
        <f t="shared" si="11"/>
        <v>0</v>
      </c>
      <c r="S167" s="86"/>
    </row>
    <row r="168" spans="13:19">
      <c r="M168">
        <v>768</v>
      </c>
      <c r="N168" t="s">
        <v>173</v>
      </c>
      <c r="O168">
        <f t="shared" si="9"/>
        <v>0</v>
      </c>
      <c r="P168">
        <f>SUMIF($A$2:$A$46,M168,($E$2:$E$46))*'Front page'!$E$14</f>
        <v>0</v>
      </c>
      <c r="Q168">
        <f t="shared" si="10"/>
        <v>0</v>
      </c>
      <c r="R168">
        <f t="shared" si="11"/>
        <v>0</v>
      </c>
      <c r="S168" s="86"/>
    </row>
    <row r="169" spans="13:19">
      <c r="M169">
        <v>785</v>
      </c>
      <c r="N169" t="s">
        <v>174</v>
      </c>
      <c r="O169">
        <f t="shared" si="9"/>
        <v>0</v>
      </c>
      <c r="P169">
        <f>SUMIF($A$2:$A$46,M169,($E$2:$E$46))*'Front page'!$E$14</f>
        <v>0</v>
      </c>
      <c r="Q169">
        <f t="shared" si="10"/>
        <v>0</v>
      </c>
      <c r="R169">
        <f t="shared" si="11"/>
        <v>0</v>
      </c>
      <c r="S169" s="86"/>
    </row>
    <row r="170" spans="13:19">
      <c r="M170">
        <v>790</v>
      </c>
      <c r="N170" t="s">
        <v>175</v>
      </c>
      <c r="O170">
        <f t="shared" si="9"/>
        <v>0</v>
      </c>
      <c r="P170">
        <f>SUMIF($A$2:$A$46,M170,($E$2:$E$46))*'Front page'!$E$14</f>
        <v>0</v>
      </c>
      <c r="Q170">
        <f t="shared" si="10"/>
        <v>0</v>
      </c>
      <c r="R170">
        <f t="shared" si="11"/>
        <v>0</v>
      </c>
    </row>
    <row r="171" spans="13:19">
      <c r="M171">
        <v>794</v>
      </c>
      <c r="N171" t="s">
        <v>176</v>
      </c>
      <c r="O171">
        <f t="shared" si="9"/>
        <v>0</v>
      </c>
      <c r="P171">
        <f>SUMIF($A$2:$A$46,M171,($E$2:$E$46))*'Front page'!$E$14</f>
        <v>0</v>
      </c>
      <c r="Q171">
        <f t="shared" si="10"/>
        <v>0</v>
      </c>
      <c r="R171">
        <f t="shared" si="11"/>
        <v>0</v>
      </c>
    </row>
    <row r="172" spans="13:19">
      <c r="M172">
        <v>795</v>
      </c>
      <c r="N172" t="s">
        <v>177</v>
      </c>
      <c r="O172">
        <f t="shared" si="9"/>
        <v>0</v>
      </c>
      <c r="P172">
        <f>SUMIF($A$2:$A$46,M172,($E$2:$E$46))*'Front page'!$E$14</f>
        <v>0</v>
      </c>
      <c r="Q172">
        <f t="shared" si="10"/>
        <v>0</v>
      </c>
      <c r="R172">
        <f t="shared" si="11"/>
        <v>0</v>
      </c>
    </row>
    <row r="173" spans="13:19">
      <c r="M173">
        <v>796</v>
      </c>
      <c r="N173" t="s">
        <v>178</v>
      </c>
      <c r="O173">
        <f t="shared" si="9"/>
        <v>0</v>
      </c>
      <c r="P173">
        <f>SUMIF($A$2:$A$46,M173,($E$2:$E$46))*'Front page'!$E$14</f>
        <v>0</v>
      </c>
      <c r="Q173">
        <f t="shared" si="10"/>
        <v>0</v>
      </c>
      <c r="R173">
        <f t="shared" si="11"/>
        <v>0</v>
      </c>
    </row>
    <row r="174" spans="13:19">
      <c r="M174">
        <v>813</v>
      </c>
      <c r="N174" t="s">
        <v>179</v>
      </c>
      <c r="O174">
        <f t="shared" si="9"/>
        <v>0</v>
      </c>
      <c r="P174">
        <f>SUMIF($A$2:$A$46,M174,($E$2:$E$46))*'Front page'!$E$14</f>
        <v>0</v>
      </c>
      <c r="Q174">
        <f t="shared" si="10"/>
        <v>0</v>
      </c>
      <c r="R174">
        <f t="shared" si="11"/>
        <v>0</v>
      </c>
    </row>
  </sheetData>
  <sortState ref="A2:E46">
    <sortCondition ref="A2:A46"/>
  </sortState>
  <dataConsolidate/>
  <conditionalFormatting sqref="S7:S112">
    <cfRule type="cellIs" dxfId="0" priority="1" operator="greaterThan">
      <formula>0.34</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6"/>
  <sheetViews>
    <sheetView workbookViewId="0"/>
  </sheetViews>
  <sheetFormatPr defaultColWidth="8.85546875" defaultRowHeight="15"/>
  <cols>
    <col min="1" max="1" width="9.140625" bestFit="1" customWidth="1"/>
    <col min="2" max="2" width="9.42578125" bestFit="1" customWidth="1"/>
    <col min="3" max="3" width="43.85546875" bestFit="1" customWidth="1"/>
    <col min="4" max="4" width="13.42578125" bestFit="1" customWidth="1"/>
    <col min="5" max="5" width="11.42578125" bestFit="1" customWidth="1"/>
    <col min="6" max="6" width="12.140625" bestFit="1" customWidth="1"/>
    <col min="7" max="7" width="11.42578125" customWidth="1"/>
  </cols>
  <sheetData>
    <row r="1" spans="1:8">
      <c r="A1" t="str">
        <f>'Student Enrollment Data'!A3</f>
        <v>District #1</v>
      </c>
      <c r="B1" t="str">
        <f>'Student Enrollment Data'!B3</f>
        <v>District # 2</v>
      </c>
      <c r="C1" t="str">
        <f>'Student Enrollment Data'!C3</f>
        <v>District Name 1</v>
      </c>
      <c r="D1" t="s">
        <v>291</v>
      </c>
      <c r="E1" t="s">
        <v>259</v>
      </c>
      <c r="F1" t="s">
        <v>260</v>
      </c>
      <c r="G1" t="s">
        <v>441</v>
      </c>
      <c r="H1" t="s">
        <v>333</v>
      </c>
    </row>
    <row r="2" spans="1:8">
      <c r="A2" t="str">
        <f>'Student Enrollment Data'!A4</f>
        <v>001</v>
      </c>
      <c r="B2">
        <f>'Student Enrollment Data'!B4</f>
        <v>1</v>
      </c>
      <c r="C2" t="str">
        <f>'Student Enrollment Data'!C4</f>
        <v>Boise Independent School District # 001</v>
      </c>
      <c r="D2">
        <v>0</v>
      </c>
      <c r="E2" s="37">
        <f>IF(settings!$G$4=0,'Student Enrollment Data'!BA4,'Student Enrollment Data'!CN4)</f>
        <v>12099.5</v>
      </c>
      <c r="F2" s="37">
        <f>IF(settings!$G$4=0,'Student Enrollment Data'!BB4,'Student Enrollment Data'!CO4)</f>
        <v>12355</v>
      </c>
      <c r="G2" s="42">
        <f t="shared" ref="G2:G66" si="0">E2+F2</f>
        <v>24454.5</v>
      </c>
      <c r="H2">
        <f>IF(G2&lt;20000,0,IF(G2&gt;19999,settings!$Q$3,('Large District Weight'!G2*settings!$P$6)+settings!P7))</f>
        <v>0.02</v>
      </c>
    </row>
    <row r="3" spans="1:8">
      <c r="A3" t="str">
        <f>'Student Enrollment Data'!A5</f>
        <v>002</v>
      </c>
      <c r="B3">
        <f>'Student Enrollment Data'!B5</f>
        <v>2</v>
      </c>
      <c r="C3" t="str">
        <f>'Student Enrollment Data'!C5</f>
        <v>West Ada Joint School District # 002</v>
      </c>
      <c r="D3">
        <v>0</v>
      </c>
      <c r="E3" s="37">
        <f>IF(settings!$G$4=0,'Student Enrollment Data'!BA5,'Student Enrollment Data'!CN5)</f>
        <v>19276</v>
      </c>
      <c r="F3" s="37">
        <f>IF(settings!$G$4=0,'Student Enrollment Data'!BB5,'Student Enrollment Data'!CO5)</f>
        <v>18539</v>
      </c>
      <c r="G3" s="42">
        <f t="shared" si="0"/>
        <v>37815</v>
      </c>
      <c r="H3">
        <f>IF(G3&lt;20000,0,IF(G3&gt;19999,settings!$Q$3,('Large District Weight'!G3*settings!$P$6)+settings!P8))</f>
        <v>0.02</v>
      </c>
    </row>
    <row r="4" spans="1:8">
      <c r="A4" t="str">
        <f>'Student Enrollment Data'!A6</f>
        <v>003</v>
      </c>
      <c r="B4">
        <f>'Student Enrollment Data'!B6</f>
        <v>3</v>
      </c>
      <c r="C4" t="str">
        <f>'Student Enrollment Data'!C6</f>
        <v>Kuna Joint School District # 003</v>
      </c>
      <c r="D4">
        <v>0</v>
      </c>
      <c r="E4" s="37">
        <f>IF(settings!$G$4=0,'Student Enrollment Data'!BA6,'Student Enrollment Data'!CN6)</f>
        <v>2546</v>
      </c>
      <c r="F4" s="37">
        <f>IF(settings!$G$4=0,'Student Enrollment Data'!BB6,'Student Enrollment Data'!CO6)</f>
        <v>2588</v>
      </c>
      <c r="G4" s="42">
        <f t="shared" si="0"/>
        <v>5134</v>
      </c>
      <c r="H4">
        <f>IF(G4&lt;20000,0,IF(G4&gt;19999,settings!$Q$3,('Large District Weight'!G4*settings!$P$6)+settings!P9))</f>
        <v>0</v>
      </c>
    </row>
    <row r="5" spans="1:8">
      <c r="A5" t="str">
        <f>'Student Enrollment Data'!A7</f>
        <v>011</v>
      </c>
      <c r="B5">
        <f>'Student Enrollment Data'!B7</f>
        <v>11</v>
      </c>
      <c r="C5" t="str">
        <f>'Student Enrollment Data'!C7</f>
        <v>Meadows Valley School District # 011</v>
      </c>
      <c r="D5">
        <v>0</v>
      </c>
      <c r="E5" s="37">
        <f>IF(settings!$G$4=0,'Student Enrollment Data'!BA7,'Student Enrollment Data'!CN7)</f>
        <v>77</v>
      </c>
      <c r="F5" s="37">
        <f>IF(settings!$G$4=0,'Student Enrollment Data'!BB7,'Student Enrollment Data'!CO7)</f>
        <v>100</v>
      </c>
      <c r="G5" s="42">
        <f t="shared" si="0"/>
        <v>177</v>
      </c>
      <c r="H5">
        <f>IF(G5&lt;20000,0,IF(G5&gt;19999,settings!$Q$3,('Large District Weight'!G5*settings!$P$6)+settings!P10))</f>
        <v>0</v>
      </c>
    </row>
    <row r="6" spans="1:8">
      <c r="A6" t="str">
        <f>'Student Enrollment Data'!A8</f>
        <v>013</v>
      </c>
      <c r="B6">
        <f>'Student Enrollment Data'!B8</f>
        <v>13</v>
      </c>
      <c r="C6" t="str">
        <f>'Student Enrollment Data'!C8</f>
        <v>Council School District # 013</v>
      </c>
      <c r="D6">
        <v>0</v>
      </c>
      <c r="E6" s="37">
        <f>IF(settings!$G$4=0,'Student Enrollment Data'!BA8,'Student Enrollment Data'!CN8)</f>
        <v>139</v>
      </c>
      <c r="F6" s="37">
        <f>IF(settings!$G$4=0,'Student Enrollment Data'!BB8,'Student Enrollment Data'!CO8)</f>
        <v>133</v>
      </c>
      <c r="G6" s="42">
        <f t="shared" si="0"/>
        <v>272</v>
      </c>
      <c r="H6">
        <f>IF(G6&lt;20000,0,IF(G6&gt;19999,settings!$Q$3,('Large District Weight'!G6*settings!$P$6)+settings!P11))</f>
        <v>0</v>
      </c>
    </row>
    <row r="7" spans="1:8">
      <c r="A7" t="str">
        <f>'Student Enrollment Data'!A9</f>
        <v>021</v>
      </c>
      <c r="B7">
        <f>'Student Enrollment Data'!B9</f>
        <v>21</v>
      </c>
      <c r="C7" t="str">
        <f>'Student Enrollment Data'!C9</f>
        <v>Marsh Valley Joint School District # 021</v>
      </c>
      <c r="D7">
        <v>0</v>
      </c>
      <c r="E7" s="37">
        <f>IF(settings!$G$4=0,'Student Enrollment Data'!BA9,'Student Enrollment Data'!CN9)</f>
        <v>601</v>
      </c>
      <c r="F7" s="37">
        <f>IF(settings!$G$4=0,'Student Enrollment Data'!BB9,'Student Enrollment Data'!CO9)</f>
        <v>628</v>
      </c>
      <c r="G7" s="42">
        <f t="shared" si="0"/>
        <v>1229</v>
      </c>
      <c r="H7">
        <f>IF(G7&lt;20000,0,IF(G7&gt;19999,settings!$Q$3,('Large District Weight'!G7*settings!$P$6)+settings!P12))</f>
        <v>0</v>
      </c>
    </row>
    <row r="8" spans="1:8">
      <c r="A8" t="str">
        <f>'Student Enrollment Data'!A10</f>
        <v>025</v>
      </c>
      <c r="B8">
        <f>'Student Enrollment Data'!B10</f>
        <v>25</v>
      </c>
      <c r="C8" t="str">
        <f>'Student Enrollment Data'!C10</f>
        <v>Pocatello School District # 025</v>
      </c>
      <c r="D8">
        <v>0</v>
      </c>
      <c r="E8" s="37">
        <f>IF(settings!$G$4=0,'Student Enrollment Data'!BA10,'Student Enrollment Data'!CN10)</f>
        <v>6060.5</v>
      </c>
      <c r="F8" s="37">
        <f>IF(settings!$G$4=0,'Student Enrollment Data'!BB10,'Student Enrollment Data'!CO10)</f>
        <v>5956</v>
      </c>
      <c r="G8" s="42">
        <f t="shared" si="0"/>
        <v>12016.5</v>
      </c>
      <c r="H8">
        <f>IF(G8&lt;20000,0,IF(G8&gt;19999,settings!$Q$3,('Large District Weight'!G8*settings!$P$6)+settings!P13))</f>
        <v>0</v>
      </c>
    </row>
    <row r="9" spans="1:8">
      <c r="A9" t="str">
        <f>'Student Enrollment Data'!A11</f>
        <v>033</v>
      </c>
      <c r="B9">
        <f>'Student Enrollment Data'!B11</f>
        <v>33</v>
      </c>
      <c r="C9" t="str">
        <f>'Student Enrollment Data'!C11</f>
        <v>Bear Lake County School District # 033</v>
      </c>
      <c r="D9">
        <v>0</v>
      </c>
      <c r="E9" s="37">
        <f>IF(settings!$G$4=0,'Student Enrollment Data'!BA11,'Student Enrollment Data'!CN11)</f>
        <v>623.5</v>
      </c>
      <c r="F9" s="37">
        <f>IF(settings!$G$4=0,'Student Enrollment Data'!BB11,'Student Enrollment Data'!CO11)</f>
        <v>504</v>
      </c>
      <c r="G9" s="42">
        <f t="shared" si="0"/>
        <v>1127.5</v>
      </c>
      <c r="H9">
        <f>IF(G9&lt;20000,0,IF(G9&gt;19999,settings!$Q$3,('Large District Weight'!G9*settings!$P$6)+settings!P14))</f>
        <v>0</v>
      </c>
    </row>
    <row r="10" spans="1:8">
      <c r="A10" t="str">
        <f>'Student Enrollment Data'!A12</f>
        <v>041</v>
      </c>
      <c r="B10">
        <f>'Student Enrollment Data'!B12</f>
        <v>41</v>
      </c>
      <c r="C10" t="str">
        <f>'Student Enrollment Data'!C12</f>
        <v>St. Maries Joint School District # 041</v>
      </c>
      <c r="D10">
        <v>0</v>
      </c>
      <c r="E10" s="37">
        <f>IF(settings!$G$4=0,'Student Enrollment Data'!BA12,'Student Enrollment Data'!CN12)</f>
        <v>490</v>
      </c>
      <c r="F10" s="37">
        <f>IF(settings!$G$4=0,'Student Enrollment Data'!BB12,'Student Enrollment Data'!CO12)</f>
        <v>450</v>
      </c>
      <c r="G10" s="42">
        <f t="shared" si="0"/>
        <v>940</v>
      </c>
      <c r="H10">
        <f>IF(G10&lt;20000,0,IF(G10&gt;19999,settings!$Q$3,('Large District Weight'!G10*settings!$P$6)+settings!P15))</f>
        <v>0</v>
      </c>
    </row>
    <row r="11" spans="1:8">
      <c r="A11" t="str">
        <f>'Student Enrollment Data'!A13</f>
        <v>044</v>
      </c>
      <c r="B11">
        <f>'Student Enrollment Data'!B13</f>
        <v>44</v>
      </c>
      <c r="C11" t="str">
        <f>'Student Enrollment Data'!C13</f>
        <v>Plummer / Worley Joint School District # 044</v>
      </c>
      <c r="D11">
        <v>0</v>
      </c>
      <c r="E11" s="37">
        <f>IF(settings!$G$4=0,'Student Enrollment Data'!BA13,'Student Enrollment Data'!CN13)</f>
        <v>169.5</v>
      </c>
      <c r="F11" s="37">
        <f>IF(settings!$G$4=0,'Student Enrollment Data'!BB13,'Student Enrollment Data'!CO13)</f>
        <v>171</v>
      </c>
      <c r="G11" s="42">
        <f t="shared" si="0"/>
        <v>340.5</v>
      </c>
      <c r="H11">
        <f>IF(G11&lt;20000,0,IF(G11&gt;19999,settings!$Q$3,('Large District Weight'!G11*settings!$P$6)+settings!P16))</f>
        <v>0</v>
      </c>
    </row>
    <row r="12" spans="1:8">
      <c r="A12" t="str">
        <f>'Student Enrollment Data'!A14</f>
        <v>052</v>
      </c>
      <c r="B12">
        <f>'Student Enrollment Data'!B14</f>
        <v>52</v>
      </c>
      <c r="C12" t="str">
        <f>'Student Enrollment Data'!C14</f>
        <v>Snake River School District # 052</v>
      </c>
      <c r="D12">
        <v>0</v>
      </c>
      <c r="E12" s="37">
        <f>IF(settings!$G$4=0,'Student Enrollment Data'!BA14,'Student Enrollment Data'!CN14)</f>
        <v>868.5</v>
      </c>
      <c r="F12" s="37">
        <f>IF(settings!$G$4=0,'Student Enrollment Data'!BB14,'Student Enrollment Data'!CO14)</f>
        <v>837</v>
      </c>
      <c r="G12" s="42">
        <f t="shared" si="0"/>
        <v>1705.5</v>
      </c>
      <c r="H12">
        <f>IF(G12&lt;20000,0,IF(G12&gt;19999,settings!$Q$3,('Large District Weight'!G12*settings!$P$6)+settings!P17))</f>
        <v>0</v>
      </c>
    </row>
    <row r="13" spans="1:8">
      <c r="A13" t="str">
        <f>'Student Enrollment Data'!A15</f>
        <v>055</v>
      </c>
      <c r="B13">
        <f>'Student Enrollment Data'!B15</f>
        <v>55</v>
      </c>
      <c r="C13" t="str">
        <f>'Student Enrollment Data'!C15</f>
        <v>Blackfoot School District # 055</v>
      </c>
      <c r="D13">
        <v>0</v>
      </c>
      <c r="E13" s="37">
        <f>IF(settings!$G$4=0,'Student Enrollment Data'!BA15,'Student Enrollment Data'!CN15)</f>
        <v>1784.5</v>
      </c>
      <c r="F13" s="37">
        <f>IF(settings!$G$4=0,'Student Enrollment Data'!BB15,'Student Enrollment Data'!CO15)</f>
        <v>1862</v>
      </c>
      <c r="G13" s="42">
        <f t="shared" si="0"/>
        <v>3646.5</v>
      </c>
      <c r="H13">
        <f>IF(G13&lt;20000,0,IF(G13&gt;19999,settings!$Q$3,('Large District Weight'!G13*settings!$P$6)+settings!P18))</f>
        <v>0</v>
      </c>
    </row>
    <row r="14" spans="1:8">
      <c r="A14" t="str">
        <f>'Student Enrollment Data'!A16</f>
        <v>058</v>
      </c>
      <c r="B14">
        <f>'Student Enrollment Data'!B16</f>
        <v>58</v>
      </c>
      <c r="C14" t="str">
        <f>'Student Enrollment Data'!C16</f>
        <v>Aberdeen School District # 058</v>
      </c>
      <c r="D14">
        <v>0</v>
      </c>
      <c r="E14" s="37">
        <f>IF(settings!$G$4=0,'Student Enrollment Data'!BA16,'Student Enrollment Data'!CN16)</f>
        <v>367</v>
      </c>
      <c r="F14" s="37">
        <f>IF(settings!$G$4=0,'Student Enrollment Data'!BB16,'Student Enrollment Data'!CO16)</f>
        <v>335</v>
      </c>
      <c r="G14" s="42">
        <f t="shared" si="0"/>
        <v>702</v>
      </c>
      <c r="H14">
        <f>IF(G14&lt;20000,0,IF(G14&gt;19999,settings!$Q$3,('Large District Weight'!G14*settings!$P$6)+settings!P19))</f>
        <v>0</v>
      </c>
    </row>
    <row r="15" spans="1:8">
      <c r="A15" t="str">
        <f>'Student Enrollment Data'!A17</f>
        <v>059</v>
      </c>
      <c r="B15">
        <f>'Student Enrollment Data'!B17</f>
        <v>59</v>
      </c>
      <c r="C15" t="str">
        <f>'Student Enrollment Data'!C17</f>
        <v>Firth School District # 059</v>
      </c>
      <c r="D15">
        <v>0</v>
      </c>
      <c r="E15" s="37">
        <f>IF(settings!$G$4=0,'Student Enrollment Data'!BA17,'Student Enrollment Data'!CN17)</f>
        <v>421</v>
      </c>
      <c r="F15" s="37">
        <f>IF(settings!$G$4=0,'Student Enrollment Data'!BB17,'Student Enrollment Data'!CO17)</f>
        <v>390</v>
      </c>
      <c r="G15" s="42">
        <f t="shared" si="0"/>
        <v>811</v>
      </c>
      <c r="H15">
        <f>IF(G15&lt;20000,0,IF(G15&gt;19999,settings!$Q$3,('Large District Weight'!G15*settings!$P$6)+settings!P20))</f>
        <v>0</v>
      </c>
    </row>
    <row r="16" spans="1:8">
      <c r="A16" t="str">
        <f>'Student Enrollment Data'!A18</f>
        <v>060</v>
      </c>
      <c r="B16">
        <f>'Student Enrollment Data'!B18</f>
        <v>60</v>
      </c>
      <c r="C16" t="str">
        <f>'Student Enrollment Data'!C18</f>
        <v>Shelley Joint School District # 060</v>
      </c>
      <c r="D16">
        <v>0</v>
      </c>
      <c r="E16" s="37">
        <f>IF(settings!$G$4=0,'Student Enrollment Data'!BA18,'Student Enrollment Data'!CN18)</f>
        <v>1220</v>
      </c>
      <c r="F16" s="37">
        <f>IF(settings!$G$4=0,'Student Enrollment Data'!BB18,'Student Enrollment Data'!CO18)</f>
        <v>1021</v>
      </c>
      <c r="G16" s="42">
        <f t="shared" si="0"/>
        <v>2241</v>
      </c>
      <c r="H16">
        <f>IF(G16&lt;20000,0,IF(G16&gt;19999,settings!$Q$3,('Large District Weight'!G16*settings!$P$6)+settings!P21))</f>
        <v>0</v>
      </c>
    </row>
    <row r="17" spans="1:8">
      <c r="A17" t="str">
        <f>'Student Enrollment Data'!A19</f>
        <v>061</v>
      </c>
      <c r="B17">
        <f>'Student Enrollment Data'!B19</f>
        <v>61</v>
      </c>
      <c r="C17" t="str">
        <f>'Student Enrollment Data'!C19</f>
        <v>Blaine County School District # 061</v>
      </c>
      <c r="D17">
        <v>0</v>
      </c>
      <c r="E17" s="37">
        <f>IF(settings!$G$4=0,'Student Enrollment Data'!BA19,'Student Enrollment Data'!CN19)</f>
        <v>1597.5</v>
      </c>
      <c r="F17" s="37">
        <f>IF(settings!$G$4=0,'Student Enrollment Data'!BB19,'Student Enrollment Data'!CO19)</f>
        <v>1661</v>
      </c>
      <c r="G17" s="42">
        <f t="shared" si="0"/>
        <v>3258.5</v>
      </c>
      <c r="H17">
        <f>IF(G17&lt;20000,0,IF(G17&gt;19999,settings!$Q$3,('Large District Weight'!G17*settings!$P$6)+settings!P22))</f>
        <v>0</v>
      </c>
    </row>
    <row r="18" spans="1:8">
      <c r="A18" t="str">
        <f>'Student Enrollment Data'!A20</f>
        <v>071</v>
      </c>
      <c r="B18">
        <f>'Student Enrollment Data'!B20</f>
        <v>71</v>
      </c>
      <c r="C18" t="str">
        <f>'Student Enrollment Data'!C20</f>
        <v>Garden Valley School District # 071</v>
      </c>
      <c r="D18">
        <v>0</v>
      </c>
      <c r="E18" s="37">
        <f>IF(settings!$G$4=0,'Student Enrollment Data'!BA20,'Student Enrollment Data'!CN20)</f>
        <v>132</v>
      </c>
      <c r="F18" s="37">
        <f>IF(settings!$G$4=0,'Student Enrollment Data'!BB20,'Student Enrollment Data'!CO20)</f>
        <v>107</v>
      </c>
      <c r="G18" s="42">
        <f t="shared" si="0"/>
        <v>239</v>
      </c>
      <c r="H18">
        <f>IF(G18&lt;20000,0,IF(G18&gt;19999,settings!$Q$3,('Large District Weight'!G18*settings!$P$6)+settings!P23))</f>
        <v>0</v>
      </c>
    </row>
    <row r="19" spans="1:8">
      <c r="A19" t="str">
        <f>'Student Enrollment Data'!A21</f>
        <v>072</v>
      </c>
      <c r="B19">
        <f>'Student Enrollment Data'!B21</f>
        <v>72</v>
      </c>
      <c r="C19" t="str">
        <f>'Student Enrollment Data'!C21</f>
        <v>Basin School District # 072</v>
      </c>
      <c r="D19">
        <v>0</v>
      </c>
      <c r="E19" s="37">
        <f>IF(settings!$G$4=0,'Student Enrollment Data'!BA21,'Student Enrollment Data'!CN21)</f>
        <v>140.5</v>
      </c>
      <c r="F19" s="37">
        <f>IF(settings!$G$4=0,'Student Enrollment Data'!BB21,'Student Enrollment Data'!CO21)</f>
        <v>187</v>
      </c>
      <c r="G19" s="42">
        <f t="shared" si="0"/>
        <v>327.5</v>
      </c>
      <c r="H19">
        <f>IF(G19&lt;20000,0,IF(G19&gt;19999,settings!$Q$3,('Large District Weight'!G19*settings!$P$6)+settings!P24))</f>
        <v>0</v>
      </c>
    </row>
    <row r="20" spans="1:8">
      <c r="A20" t="str">
        <f>'Student Enrollment Data'!A22</f>
        <v>073</v>
      </c>
      <c r="B20">
        <f>'Student Enrollment Data'!B22</f>
        <v>73</v>
      </c>
      <c r="C20" t="str">
        <f>'Student Enrollment Data'!C22</f>
        <v>Horseshoe Bend School District # 073</v>
      </c>
      <c r="D20">
        <v>0</v>
      </c>
      <c r="E20" s="37">
        <f>IF(settings!$G$4=0,'Student Enrollment Data'!BA22,'Student Enrollment Data'!CN22)</f>
        <v>105</v>
      </c>
      <c r="F20" s="37">
        <f>IF(settings!$G$4=0,'Student Enrollment Data'!BB22,'Student Enrollment Data'!CO22)</f>
        <v>115</v>
      </c>
      <c r="G20" s="42">
        <f t="shared" si="0"/>
        <v>220</v>
      </c>
      <c r="H20">
        <f>IF(G20&lt;20000,0,IF(G20&gt;19999,settings!$Q$3,('Large District Weight'!G20*settings!$P$6)+settings!P25))</f>
        <v>0</v>
      </c>
    </row>
    <row r="21" spans="1:8">
      <c r="A21" t="str">
        <f>'Student Enrollment Data'!A23</f>
        <v>083</v>
      </c>
      <c r="B21">
        <f>'Student Enrollment Data'!B23</f>
        <v>83</v>
      </c>
      <c r="C21" t="str">
        <f>'Student Enrollment Data'!C23</f>
        <v>West Bonner County School District # 083</v>
      </c>
      <c r="D21">
        <v>0</v>
      </c>
      <c r="E21" s="37">
        <f>IF(settings!$G$4=0,'Student Enrollment Data'!BA23,'Student Enrollment Data'!CN23)</f>
        <v>498</v>
      </c>
      <c r="F21" s="37">
        <f>IF(settings!$G$4=0,'Student Enrollment Data'!BB23,'Student Enrollment Data'!CO23)</f>
        <v>441</v>
      </c>
      <c r="G21" s="42">
        <f t="shared" si="0"/>
        <v>939</v>
      </c>
      <c r="H21">
        <f>IF(G21&lt;20000,0,IF(G21&gt;19999,settings!$Q$3,('Large District Weight'!G21*settings!$P$6)+settings!P26))</f>
        <v>0</v>
      </c>
    </row>
    <row r="22" spans="1:8">
      <c r="A22" t="str">
        <f>'Student Enrollment Data'!A24</f>
        <v>084</v>
      </c>
      <c r="B22">
        <f>'Student Enrollment Data'!B24</f>
        <v>84</v>
      </c>
      <c r="C22" t="str">
        <f>'Student Enrollment Data'!C24</f>
        <v>Lake Pend Oreille School District # 084</v>
      </c>
      <c r="D22">
        <v>0</v>
      </c>
      <c r="E22" s="37">
        <f>IF(settings!$G$4=0,'Student Enrollment Data'!BA24,'Student Enrollment Data'!CN24)</f>
        <v>1928</v>
      </c>
      <c r="F22" s="37">
        <f>IF(settings!$G$4=0,'Student Enrollment Data'!BB24,'Student Enrollment Data'!CO24)</f>
        <v>1744</v>
      </c>
      <c r="G22" s="42">
        <f t="shared" si="0"/>
        <v>3672</v>
      </c>
      <c r="H22">
        <f>IF(G22&lt;20000,0,IF(G22&gt;19999,settings!$Q$3,('Large District Weight'!G22*settings!$P$6)+settings!P27))</f>
        <v>0</v>
      </c>
    </row>
    <row r="23" spans="1:8">
      <c r="A23" t="str">
        <f>'Student Enrollment Data'!A25</f>
        <v>091</v>
      </c>
      <c r="B23">
        <f>'Student Enrollment Data'!B25</f>
        <v>91</v>
      </c>
      <c r="C23" t="str">
        <f>'Student Enrollment Data'!C25</f>
        <v>Idaho Falls School District # 091</v>
      </c>
      <c r="D23">
        <v>0</v>
      </c>
      <c r="E23" s="37">
        <f>IF(settings!$G$4=0,'Student Enrollment Data'!BA25,'Student Enrollment Data'!CN25)</f>
        <v>4980.5</v>
      </c>
      <c r="F23" s="37">
        <f>IF(settings!$G$4=0,'Student Enrollment Data'!BB25,'Student Enrollment Data'!CO25)</f>
        <v>4783</v>
      </c>
      <c r="G23" s="42">
        <f t="shared" si="0"/>
        <v>9763.5</v>
      </c>
      <c r="H23">
        <f>IF(G23&lt;20000,0,IF(G23&gt;19999,settings!$Q$3,('Large District Weight'!G23*settings!$P$6)+settings!P28))</f>
        <v>0</v>
      </c>
    </row>
    <row r="24" spans="1:8">
      <c r="A24" t="str">
        <f>'Student Enrollment Data'!A26</f>
        <v>092</v>
      </c>
      <c r="B24">
        <f>'Student Enrollment Data'!B26</f>
        <v>92</v>
      </c>
      <c r="C24" t="str">
        <f>'Student Enrollment Data'!C26</f>
        <v>Swan Valley Elementary School District # 092</v>
      </c>
      <c r="D24">
        <v>0</v>
      </c>
      <c r="E24" s="37">
        <f>IF(settings!$G$4=0,'Student Enrollment Data'!BA26,'Student Enrollment Data'!CN26)</f>
        <v>31.5</v>
      </c>
      <c r="F24" s="37">
        <f>IF(settings!$G$4=0,'Student Enrollment Data'!BB26,'Student Enrollment Data'!CO26)</f>
        <v>9</v>
      </c>
      <c r="G24" s="42">
        <f t="shared" si="0"/>
        <v>40.5</v>
      </c>
      <c r="H24">
        <f>IF(G24&lt;20000,0,IF(G24&gt;19999,settings!$Q$3,('Large District Weight'!G24*settings!$P$6)+settings!P29))</f>
        <v>0</v>
      </c>
    </row>
    <row r="25" spans="1:8">
      <c r="A25" t="str">
        <f>'Student Enrollment Data'!A27</f>
        <v>093</v>
      </c>
      <c r="B25">
        <f>'Student Enrollment Data'!B27</f>
        <v>93</v>
      </c>
      <c r="C25" t="str">
        <f>'Student Enrollment Data'!C27</f>
        <v>Bonneville Joint School District # 093</v>
      </c>
      <c r="D25">
        <v>0</v>
      </c>
      <c r="E25" s="37">
        <f>IF(settings!$G$4=0,'Student Enrollment Data'!BA27,'Student Enrollment Data'!CN27)</f>
        <v>6403.5</v>
      </c>
      <c r="F25" s="37">
        <f>IF(settings!$G$4=0,'Student Enrollment Data'!BB27,'Student Enrollment Data'!CO27)</f>
        <v>5934</v>
      </c>
      <c r="G25" s="42">
        <f t="shared" si="0"/>
        <v>12337.5</v>
      </c>
      <c r="H25">
        <f>IF(G25&lt;20000,0,IF(G25&gt;19999,settings!$Q$3,('Large District Weight'!G25*settings!$P$6)+settings!P30))</f>
        <v>0</v>
      </c>
    </row>
    <row r="26" spans="1:8">
      <c r="A26" t="str">
        <f>'Student Enrollment Data'!A28</f>
        <v>101</v>
      </c>
      <c r="B26">
        <f>'Student Enrollment Data'!B28</f>
        <v>101</v>
      </c>
      <c r="C26" t="str">
        <f>'Student Enrollment Data'!C28</f>
        <v>Boundary County School District # 101</v>
      </c>
      <c r="D26">
        <v>0</v>
      </c>
      <c r="E26" s="37">
        <f>IF(settings!$G$4=0,'Student Enrollment Data'!BA28,'Student Enrollment Data'!CN28)</f>
        <v>692.5</v>
      </c>
      <c r="F26" s="37">
        <f>IF(settings!$G$4=0,'Student Enrollment Data'!BB28,'Student Enrollment Data'!CO28)</f>
        <v>669</v>
      </c>
      <c r="G26" s="42">
        <f t="shared" si="0"/>
        <v>1361.5</v>
      </c>
      <c r="H26">
        <f>IF(G26&lt;20000,0,IF(G26&gt;19999,settings!$Q$3,('Large District Weight'!G26*settings!$P$6)+settings!P31))</f>
        <v>0</v>
      </c>
    </row>
    <row r="27" spans="1:8">
      <c r="A27" t="str">
        <f>'Student Enrollment Data'!A29</f>
        <v>111</v>
      </c>
      <c r="B27">
        <f>'Student Enrollment Data'!B29</f>
        <v>111</v>
      </c>
      <c r="C27" t="str">
        <f>'Student Enrollment Data'!C29</f>
        <v>Butte County Joint School District # 111</v>
      </c>
      <c r="D27">
        <v>0</v>
      </c>
      <c r="E27" s="37">
        <f>IF(settings!$G$4=0,'Student Enrollment Data'!BA29,'Student Enrollment Data'!CN29)</f>
        <v>219</v>
      </c>
      <c r="F27" s="37">
        <f>IF(settings!$G$4=0,'Student Enrollment Data'!BB29,'Student Enrollment Data'!CO29)</f>
        <v>183</v>
      </c>
      <c r="G27" s="42">
        <f t="shared" si="0"/>
        <v>402</v>
      </c>
      <c r="H27">
        <f>IF(G27&lt;20000,0,IF(G27&gt;19999,settings!$Q$3,('Large District Weight'!G27*settings!$P$6)+settings!P32))</f>
        <v>0</v>
      </c>
    </row>
    <row r="28" spans="1:8">
      <c r="A28" t="str">
        <f>'Student Enrollment Data'!A30</f>
        <v>121</v>
      </c>
      <c r="B28">
        <f>'Student Enrollment Data'!B30</f>
        <v>121</v>
      </c>
      <c r="C28" t="str">
        <f>'Student Enrollment Data'!C30</f>
        <v>Camas County School District # 121</v>
      </c>
      <c r="D28">
        <v>0</v>
      </c>
      <c r="E28" s="37">
        <f>IF(settings!$G$4=0,'Student Enrollment Data'!BA30,'Student Enrollment Data'!CN30)</f>
        <v>90.5</v>
      </c>
      <c r="F28" s="37">
        <f>IF(settings!$G$4=0,'Student Enrollment Data'!BB30,'Student Enrollment Data'!CO30)</f>
        <v>100</v>
      </c>
      <c r="G28" s="42">
        <f t="shared" si="0"/>
        <v>190.5</v>
      </c>
      <c r="H28">
        <f>IF(G28&lt;20000,0,IF(G28&gt;19999,settings!$Q$3,('Large District Weight'!G28*settings!$P$6)+settings!P33))</f>
        <v>0</v>
      </c>
    </row>
    <row r="29" spans="1:8">
      <c r="A29" t="str">
        <f>'Student Enrollment Data'!A31</f>
        <v>131</v>
      </c>
      <c r="B29">
        <f>'Student Enrollment Data'!B31</f>
        <v>131</v>
      </c>
      <c r="C29" t="str">
        <f>'Student Enrollment Data'!C31</f>
        <v>Nampa School District # 131</v>
      </c>
      <c r="D29">
        <v>0</v>
      </c>
      <c r="E29" s="37">
        <f>IF(settings!$G$4=0,'Student Enrollment Data'!BA31,'Student Enrollment Data'!CN31)</f>
        <v>6781.5</v>
      </c>
      <c r="F29" s="37">
        <f>IF(settings!$G$4=0,'Student Enrollment Data'!BB31,'Student Enrollment Data'!CO31)</f>
        <v>6584</v>
      </c>
      <c r="G29" s="42">
        <f t="shared" si="0"/>
        <v>13365.5</v>
      </c>
      <c r="H29">
        <f>IF(G29&lt;20000,0,IF(G29&gt;19999,settings!$Q$3,('Large District Weight'!G29*settings!$P$6)+settings!P34))</f>
        <v>0</v>
      </c>
    </row>
    <row r="30" spans="1:8">
      <c r="A30" t="str">
        <f>'Student Enrollment Data'!A32</f>
        <v>132</v>
      </c>
      <c r="B30">
        <f>'Student Enrollment Data'!B32</f>
        <v>132</v>
      </c>
      <c r="C30" t="str">
        <f>'Student Enrollment Data'!C32</f>
        <v>Caldwell School District # 132</v>
      </c>
      <c r="D30">
        <v>0</v>
      </c>
      <c r="E30" s="37">
        <f>IF(settings!$G$4=0,'Student Enrollment Data'!BA32,'Student Enrollment Data'!CN32)</f>
        <v>3297</v>
      </c>
      <c r="F30" s="37">
        <f>IF(settings!$G$4=0,'Student Enrollment Data'!BB32,'Student Enrollment Data'!CO32)</f>
        <v>2786</v>
      </c>
      <c r="G30" s="42">
        <f t="shared" si="0"/>
        <v>6083</v>
      </c>
      <c r="H30">
        <f>IF(G30&lt;20000,0,IF(G30&gt;19999,settings!$Q$3,('Large District Weight'!G30*settings!$P$6)+settings!P35))</f>
        <v>0</v>
      </c>
    </row>
    <row r="31" spans="1:8">
      <c r="A31" t="str">
        <f>'Student Enrollment Data'!A33</f>
        <v>133</v>
      </c>
      <c r="B31">
        <f>'Student Enrollment Data'!B33</f>
        <v>133</v>
      </c>
      <c r="C31" t="str">
        <f>'Student Enrollment Data'!C33</f>
        <v>Wilder School District # 133</v>
      </c>
      <c r="D31">
        <v>0</v>
      </c>
      <c r="E31" s="37">
        <f>IF(settings!$G$4=0,'Student Enrollment Data'!BA33,'Student Enrollment Data'!CN33)</f>
        <v>275.5</v>
      </c>
      <c r="F31" s="37">
        <f>IF(settings!$G$4=0,'Student Enrollment Data'!BB33,'Student Enrollment Data'!CO33)</f>
        <v>224</v>
      </c>
      <c r="G31" s="42">
        <f t="shared" si="0"/>
        <v>499.5</v>
      </c>
      <c r="H31">
        <f>IF(G31&lt;20000,0,IF(G31&gt;19999,settings!$Q$3,('Large District Weight'!G31*settings!$P$6)+settings!P36))</f>
        <v>0</v>
      </c>
    </row>
    <row r="32" spans="1:8">
      <c r="A32" t="str">
        <f>'Student Enrollment Data'!A34</f>
        <v>134</v>
      </c>
      <c r="B32">
        <f>'Student Enrollment Data'!B34</f>
        <v>134</v>
      </c>
      <c r="C32" t="str">
        <f>'Student Enrollment Data'!C34</f>
        <v>Middleton School District # 134</v>
      </c>
      <c r="D32">
        <v>0</v>
      </c>
      <c r="E32" s="37">
        <f>IF(settings!$G$4=0,'Student Enrollment Data'!BA34,'Student Enrollment Data'!CN34)</f>
        <v>1930.5</v>
      </c>
      <c r="F32" s="37">
        <f>IF(settings!$G$4=0,'Student Enrollment Data'!BB34,'Student Enrollment Data'!CO34)</f>
        <v>1992</v>
      </c>
      <c r="G32" s="42">
        <f t="shared" si="0"/>
        <v>3922.5</v>
      </c>
      <c r="H32">
        <f>IF(G32&lt;20000,0,IF(G32&gt;19999,settings!$Q$3,('Large District Weight'!G32*settings!$P$6)+settings!P37))</f>
        <v>0</v>
      </c>
    </row>
    <row r="33" spans="1:8">
      <c r="A33" t="str">
        <f>'Student Enrollment Data'!A35</f>
        <v>135</v>
      </c>
      <c r="B33">
        <f>'Student Enrollment Data'!B35</f>
        <v>135</v>
      </c>
      <c r="C33" t="str">
        <f>'Student Enrollment Data'!C35</f>
        <v>Notus School District # 135</v>
      </c>
      <c r="D33">
        <v>0</v>
      </c>
      <c r="E33" s="37">
        <f>IF(settings!$G$4=0,'Student Enrollment Data'!BA35,'Student Enrollment Data'!CN35)</f>
        <v>196.5</v>
      </c>
      <c r="F33" s="37">
        <f>IF(settings!$G$4=0,'Student Enrollment Data'!BB35,'Student Enrollment Data'!CO35)</f>
        <v>217</v>
      </c>
      <c r="G33" s="42">
        <f t="shared" si="0"/>
        <v>413.5</v>
      </c>
      <c r="H33">
        <f>IF(G33&lt;20000,0,IF(G33&gt;19999,settings!$Q$3,('Large District Weight'!G33*settings!$P$6)+settings!P38))</f>
        <v>0</v>
      </c>
    </row>
    <row r="34" spans="1:8">
      <c r="A34" t="str">
        <f>'Student Enrollment Data'!A36</f>
        <v>136</v>
      </c>
      <c r="B34">
        <f>'Student Enrollment Data'!B36</f>
        <v>136</v>
      </c>
      <c r="C34" t="str">
        <f>'Student Enrollment Data'!C36</f>
        <v>Melba Joint School District # 136</v>
      </c>
      <c r="D34">
        <v>0</v>
      </c>
      <c r="E34" s="37">
        <f>IF(settings!$G$4=0,'Student Enrollment Data'!BA36,'Student Enrollment Data'!CN36)</f>
        <v>404</v>
      </c>
      <c r="F34" s="37">
        <f>IF(settings!$G$4=0,'Student Enrollment Data'!BB36,'Student Enrollment Data'!CO36)</f>
        <v>433</v>
      </c>
      <c r="G34" s="42">
        <f t="shared" si="0"/>
        <v>837</v>
      </c>
      <c r="H34">
        <f>IF(G34&lt;20000,0,IF(G34&gt;19999,settings!$Q$3,('Large District Weight'!G34*settings!$P$6)+settings!P39))</f>
        <v>0</v>
      </c>
    </row>
    <row r="35" spans="1:8">
      <c r="A35" t="str">
        <f>'Student Enrollment Data'!A37</f>
        <v>137</v>
      </c>
      <c r="B35">
        <f>'Student Enrollment Data'!B37</f>
        <v>137</v>
      </c>
      <c r="C35" t="str">
        <f>'Student Enrollment Data'!C37</f>
        <v>Parma School District # 137</v>
      </c>
      <c r="D35">
        <v>0</v>
      </c>
      <c r="E35" s="37">
        <f>IF(settings!$G$4=0,'Student Enrollment Data'!BA37,'Student Enrollment Data'!CN37)</f>
        <v>526</v>
      </c>
      <c r="F35" s="37">
        <f>IF(settings!$G$4=0,'Student Enrollment Data'!BB37,'Student Enrollment Data'!CO37)</f>
        <v>505</v>
      </c>
      <c r="G35" s="42">
        <f t="shared" si="0"/>
        <v>1031</v>
      </c>
      <c r="H35">
        <f>IF(G35&lt;20000,0,IF(G35&gt;19999,settings!$Q$3,('Large District Weight'!G35*settings!$P$6)+settings!P40))</f>
        <v>0</v>
      </c>
    </row>
    <row r="36" spans="1:8">
      <c r="A36" t="str">
        <f>'Student Enrollment Data'!A38</f>
        <v>139</v>
      </c>
      <c r="B36">
        <f>'Student Enrollment Data'!B38</f>
        <v>139</v>
      </c>
      <c r="C36" t="str">
        <f>'Student Enrollment Data'!C38</f>
        <v>Vallivue School District # 139</v>
      </c>
      <c r="D36">
        <v>0</v>
      </c>
      <c r="E36" s="37">
        <f>IF(settings!$G$4=0,'Student Enrollment Data'!BA38,'Student Enrollment Data'!CN38)</f>
        <v>4625.5</v>
      </c>
      <c r="F36" s="37">
        <f>IF(settings!$G$4=0,'Student Enrollment Data'!BB38,'Student Enrollment Data'!CO38)</f>
        <v>4021</v>
      </c>
      <c r="G36" s="42">
        <f t="shared" si="0"/>
        <v>8646.5</v>
      </c>
      <c r="H36">
        <f>IF(G36&lt;20000,0,IF(G36&gt;19999,settings!$Q$3,('Large District Weight'!G36*settings!$P$6)+settings!P41))</f>
        <v>0</v>
      </c>
    </row>
    <row r="37" spans="1:8">
      <c r="A37" t="str">
        <f>'Student Enrollment Data'!A39</f>
        <v>148</v>
      </c>
      <c r="B37">
        <f>'Student Enrollment Data'!B39</f>
        <v>148</v>
      </c>
      <c r="C37" t="str">
        <f>'Student Enrollment Data'!C39</f>
        <v>Grace Joint School District # 148</v>
      </c>
      <c r="D37">
        <v>0</v>
      </c>
      <c r="E37" s="37">
        <f>IF(settings!$G$4=0,'Student Enrollment Data'!BA39,'Student Enrollment Data'!CN39)</f>
        <v>271.5</v>
      </c>
      <c r="F37" s="37">
        <f>IF(settings!$G$4=0,'Student Enrollment Data'!BB39,'Student Enrollment Data'!CO39)</f>
        <v>231</v>
      </c>
      <c r="G37" s="42">
        <f t="shared" si="0"/>
        <v>502.5</v>
      </c>
      <c r="H37">
        <f>IF(G37&lt;20000,0,IF(G37&gt;19999,settings!$Q$3,('Large District Weight'!G37*settings!$P$6)+settings!P42))</f>
        <v>0</v>
      </c>
    </row>
    <row r="38" spans="1:8">
      <c r="A38" t="str">
        <f>'Student Enrollment Data'!A40</f>
        <v>149</v>
      </c>
      <c r="B38">
        <f>'Student Enrollment Data'!B40</f>
        <v>149</v>
      </c>
      <c r="C38" t="str">
        <f>'Student Enrollment Data'!C40</f>
        <v>North Gem School District # 149</v>
      </c>
      <c r="D38">
        <v>0</v>
      </c>
      <c r="E38" s="37">
        <f>IF(settings!$G$4=0,'Student Enrollment Data'!BA40,'Student Enrollment Data'!CN40)</f>
        <v>76</v>
      </c>
      <c r="F38" s="37">
        <f>IF(settings!$G$4=0,'Student Enrollment Data'!BB40,'Student Enrollment Data'!CO40)</f>
        <v>100</v>
      </c>
      <c r="G38" s="42">
        <f t="shared" si="0"/>
        <v>176</v>
      </c>
      <c r="H38">
        <f>IF(G38&lt;20000,0,IF(G38&gt;19999,settings!$Q$3,('Large District Weight'!G38*settings!$P$6)+settings!P43))</f>
        <v>0</v>
      </c>
    </row>
    <row r="39" spans="1:8">
      <c r="A39" t="str">
        <f>'Student Enrollment Data'!A41</f>
        <v>150</v>
      </c>
      <c r="B39">
        <f>'Student Enrollment Data'!B41</f>
        <v>150</v>
      </c>
      <c r="C39" t="str">
        <f>'Student Enrollment Data'!C41</f>
        <v>Soda Springs Joint School District # 150</v>
      </c>
      <c r="D39">
        <v>0</v>
      </c>
      <c r="E39" s="37">
        <f>IF(settings!$G$4=0,'Student Enrollment Data'!BA41,'Student Enrollment Data'!CN41)</f>
        <v>462</v>
      </c>
      <c r="F39" s="37">
        <f>IF(settings!$G$4=0,'Student Enrollment Data'!BB41,'Student Enrollment Data'!CO41)</f>
        <v>389</v>
      </c>
      <c r="G39" s="42">
        <f t="shared" si="0"/>
        <v>851</v>
      </c>
      <c r="H39">
        <f>IF(G39&lt;20000,0,IF(G39&gt;19999,settings!$Q$3,('Large District Weight'!G39*settings!$P$6)+settings!P44))</f>
        <v>0</v>
      </c>
    </row>
    <row r="40" spans="1:8">
      <c r="A40" t="str">
        <f>'Student Enrollment Data'!A42</f>
        <v>151</v>
      </c>
      <c r="B40">
        <f>'Student Enrollment Data'!B42</f>
        <v>151</v>
      </c>
      <c r="C40" t="str">
        <f>'Student Enrollment Data'!C42</f>
        <v>Cassia County Joint School District # 151</v>
      </c>
      <c r="D40">
        <v>0</v>
      </c>
      <c r="E40" s="37">
        <f>IF(settings!$G$4=0,'Student Enrollment Data'!BA42,'Student Enrollment Data'!CN42)</f>
        <v>2752</v>
      </c>
      <c r="F40" s="37">
        <f>IF(settings!$G$4=0,'Student Enrollment Data'!BB42,'Student Enrollment Data'!CO42)</f>
        <v>2464</v>
      </c>
      <c r="G40" s="42">
        <f t="shared" si="0"/>
        <v>5216</v>
      </c>
      <c r="H40">
        <f>IF(G40&lt;20000,0,IF(G40&gt;19999,settings!$Q$3,('Large District Weight'!G40*settings!$P$6)+settings!P45))</f>
        <v>0</v>
      </c>
    </row>
    <row r="41" spans="1:8">
      <c r="A41" t="str">
        <f>'Student Enrollment Data'!A43</f>
        <v>161</v>
      </c>
      <c r="B41">
        <f>'Student Enrollment Data'!B43</f>
        <v>161</v>
      </c>
      <c r="C41" t="str">
        <f>'Student Enrollment Data'!C43</f>
        <v>Clark County Joint School District # 161</v>
      </c>
      <c r="D41">
        <v>0</v>
      </c>
      <c r="E41" s="37">
        <f>IF(settings!$G$4=0,'Student Enrollment Data'!BA43,'Student Enrollment Data'!CN43)</f>
        <v>54</v>
      </c>
      <c r="F41" s="37">
        <f>IF(settings!$G$4=0,'Student Enrollment Data'!BB43,'Student Enrollment Data'!CO43)</f>
        <v>100</v>
      </c>
      <c r="G41" s="42">
        <f t="shared" si="0"/>
        <v>154</v>
      </c>
      <c r="H41">
        <f>IF(G41&lt;20000,0,IF(G41&gt;19999,settings!$Q$3,('Large District Weight'!G41*settings!$P$6)+settings!P46))</f>
        <v>0</v>
      </c>
    </row>
    <row r="42" spans="1:8">
      <c r="A42" t="str">
        <f>'Student Enrollment Data'!A44</f>
        <v>171</v>
      </c>
      <c r="B42">
        <f>'Student Enrollment Data'!B44</f>
        <v>171</v>
      </c>
      <c r="C42" t="str">
        <f>'Student Enrollment Data'!C44</f>
        <v>Orofino Joint School District # 171</v>
      </c>
      <c r="D42">
        <v>0</v>
      </c>
      <c r="E42" s="37">
        <f>IF(settings!$G$4=0,'Student Enrollment Data'!BA44,'Student Enrollment Data'!CN44)</f>
        <v>514</v>
      </c>
      <c r="F42" s="37">
        <f>IF(settings!$G$4=0,'Student Enrollment Data'!BB44,'Student Enrollment Data'!CO44)</f>
        <v>484</v>
      </c>
      <c r="G42" s="42">
        <f t="shared" si="0"/>
        <v>998</v>
      </c>
      <c r="H42">
        <f>IF(G42&lt;20000,0,IF(G42&gt;19999,settings!$Q$3,('Large District Weight'!G42*settings!$P$6)+settings!P47))</f>
        <v>0</v>
      </c>
    </row>
    <row r="43" spans="1:8">
      <c r="A43" t="str">
        <f>'Student Enrollment Data'!A45</f>
        <v>181</v>
      </c>
      <c r="B43">
        <f>'Student Enrollment Data'!B45</f>
        <v>181</v>
      </c>
      <c r="C43" t="str">
        <f>'Student Enrollment Data'!C45</f>
        <v>Challis Joint School District # 181</v>
      </c>
      <c r="D43">
        <v>0</v>
      </c>
      <c r="E43" s="37">
        <f>IF(settings!$G$4=0,'Student Enrollment Data'!BA45,'Student Enrollment Data'!CN45)</f>
        <v>162.5</v>
      </c>
      <c r="F43" s="37">
        <f>IF(settings!$G$4=0,'Student Enrollment Data'!BB45,'Student Enrollment Data'!CO45)</f>
        <v>175</v>
      </c>
      <c r="G43" s="42">
        <f t="shared" si="0"/>
        <v>337.5</v>
      </c>
      <c r="H43">
        <f>IF(G43&lt;20000,0,IF(G43&gt;19999,settings!$Q$3,('Large District Weight'!G43*settings!$P$6)+settings!P48))</f>
        <v>0</v>
      </c>
    </row>
    <row r="44" spans="1:8">
      <c r="A44" t="str">
        <f>'Student Enrollment Data'!A46</f>
        <v>182</v>
      </c>
      <c r="B44">
        <f>'Student Enrollment Data'!B46</f>
        <v>182</v>
      </c>
      <c r="C44" t="str">
        <f>'Student Enrollment Data'!C46</f>
        <v>Mackay Joint School District # 182</v>
      </c>
      <c r="D44">
        <v>0</v>
      </c>
      <c r="E44" s="37">
        <f>IF(settings!$G$4=0,'Student Enrollment Data'!BA46,'Student Enrollment Data'!CN46)</f>
        <v>115</v>
      </c>
      <c r="F44" s="37">
        <f>IF(settings!$G$4=0,'Student Enrollment Data'!BB46,'Student Enrollment Data'!CO46)</f>
        <v>100</v>
      </c>
      <c r="G44" s="42">
        <f t="shared" si="0"/>
        <v>215</v>
      </c>
      <c r="H44">
        <f>IF(G44&lt;20000,0,IF(G44&gt;19999,settings!$Q$3,('Large District Weight'!G44*settings!$P$6)+settings!P49))</f>
        <v>0</v>
      </c>
    </row>
    <row r="45" spans="1:8">
      <c r="A45" t="str">
        <f>'Student Enrollment Data'!A47</f>
        <v>191</v>
      </c>
      <c r="B45">
        <f>'Student Enrollment Data'!B47</f>
        <v>191</v>
      </c>
      <c r="C45" t="str">
        <f>'Student Enrollment Data'!C47</f>
        <v>Prairie Elementary School District # 191</v>
      </c>
      <c r="D45">
        <v>0</v>
      </c>
      <c r="E45" s="37">
        <f>IF(settings!$G$4=0,'Student Enrollment Data'!BA47,'Student Enrollment Data'!CN47)</f>
        <v>2</v>
      </c>
      <c r="F45" s="37">
        <f>IF(settings!$G$4=0,'Student Enrollment Data'!BB47,'Student Enrollment Data'!CO47)</f>
        <v>0</v>
      </c>
      <c r="G45" s="42">
        <f t="shared" si="0"/>
        <v>2</v>
      </c>
      <c r="H45">
        <f>IF(G45&lt;20000,0,IF(G45&gt;19999,settings!$Q$3,('Large District Weight'!G45*settings!$P$6)+settings!P50))</f>
        <v>0</v>
      </c>
    </row>
    <row r="46" spans="1:8">
      <c r="A46" t="str">
        <f>'Student Enrollment Data'!A48</f>
        <v>192</v>
      </c>
      <c r="B46">
        <f>'Student Enrollment Data'!B48</f>
        <v>192</v>
      </c>
      <c r="C46" t="str">
        <f>'Student Enrollment Data'!C48</f>
        <v>Glenns Ferry Joint School District # 192</v>
      </c>
      <c r="D46">
        <v>0</v>
      </c>
      <c r="E46" s="37">
        <f>IF(settings!$G$4=0,'Student Enrollment Data'!BA48,'Student Enrollment Data'!CN48)</f>
        <v>199.5</v>
      </c>
      <c r="F46" s="37">
        <f>IF(settings!$G$4=0,'Student Enrollment Data'!BB48,'Student Enrollment Data'!CO48)</f>
        <v>184</v>
      </c>
      <c r="G46" s="42">
        <f t="shared" si="0"/>
        <v>383.5</v>
      </c>
      <c r="H46">
        <f>IF(G46&lt;20000,0,IF(G46&gt;19999,settings!$Q$3,('Large District Weight'!G46*settings!$P$6)+settings!P51))</f>
        <v>0</v>
      </c>
    </row>
    <row r="47" spans="1:8">
      <c r="A47" t="str">
        <f>'Student Enrollment Data'!A49</f>
        <v>193</v>
      </c>
      <c r="B47">
        <f>'Student Enrollment Data'!B49</f>
        <v>193</v>
      </c>
      <c r="C47" t="str">
        <f>'Student Enrollment Data'!C49</f>
        <v>Mountain Home School District # 193</v>
      </c>
      <c r="D47">
        <v>0</v>
      </c>
      <c r="E47" s="37">
        <f>IF(settings!$G$4=0,'Student Enrollment Data'!BA49,'Student Enrollment Data'!CN49)</f>
        <v>2047.5</v>
      </c>
      <c r="F47" s="37">
        <f>IF(settings!$G$4=0,'Student Enrollment Data'!BB49,'Student Enrollment Data'!CO49)</f>
        <v>1690</v>
      </c>
      <c r="G47" s="42">
        <f t="shared" si="0"/>
        <v>3737.5</v>
      </c>
      <c r="H47">
        <f>IF(G47&lt;20000,0,IF(G47&gt;19999,settings!$Q$3,('Large District Weight'!G47*settings!$P$6)+settings!P52))</f>
        <v>0</v>
      </c>
    </row>
    <row r="48" spans="1:8">
      <c r="A48" t="str">
        <f>'Student Enrollment Data'!A50</f>
        <v>201</v>
      </c>
      <c r="B48">
        <f>'Student Enrollment Data'!B50</f>
        <v>201</v>
      </c>
      <c r="C48" t="str">
        <f>'Student Enrollment Data'!C50</f>
        <v>Preston Joint School District # 201</v>
      </c>
      <c r="D48">
        <v>0</v>
      </c>
      <c r="E48" s="37">
        <f>IF(settings!$G$4=0,'Student Enrollment Data'!BA50,'Student Enrollment Data'!CN50)</f>
        <v>1104</v>
      </c>
      <c r="F48" s="37">
        <f>IF(settings!$G$4=0,'Student Enrollment Data'!BB50,'Student Enrollment Data'!CO50)</f>
        <v>1142</v>
      </c>
      <c r="G48" s="42">
        <f t="shared" si="0"/>
        <v>2246</v>
      </c>
      <c r="H48">
        <f>IF(G48&lt;20000,0,IF(G48&gt;19999,settings!$Q$3,('Large District Weight'!G48*settings!$P$6)+settings!P53))</f>
        <v>0</v>
      </c>
    </row>
    <row r="49" spans="1:8">
      <c r="A49" t="str">
        <f>'Student Enrollment Data'!A51</f>
        <v>202</v>
      </c>
      <c r="B49">
        <f>'Student Enrollment Data'!B51</f>
        <v>202</v>
      </c>
      <c r="C49" t="str">
        <f>'Student Enrollment Data'!C51</f>
        <v>West Side Joint School District # 202</v>
      </c>
      <c r="D49">
        <v>0</v>
      </c>
      <c r="E49" s="37">
        <f>IF(settings!$G$4=0,'Student Enrollment Data'!BA51,'Student Enrollment Data'!CN51)</f>
        <v>400</v>
      </c>
      <c r="F49" s="37">
        <f>IF(settings!$G$4=0,'Student Enrollment Data'!BB51,'Student Enrollment Data'!CO51)</f>
        <v>321</v>
      </c>
      <c r="G49" s="42">
        <f t="shared" si="0"/>
        <v>721</v>
      </c>
      <c r="H49">
        <f>IF(G49&lt;20000,0,IF(G49&gt;19999,settings!$Q$3,('Large District Weight'!G49*settings!$P$6)+settings!P54))</f>
        <v>0</v>
      </c>
    </row>
    <row r="50" spans="1:8">
      <c r="A50" t="str">
        <f>'Student Enrollment Data'!A52</f>
        <v>215</v>
      </c>
      <c r="B50">
        <f>'Student Enrollment Data'!B52</f>
        <v>215</v>
      </c>
      <c r="C50" t="str">
        <f>'Student Enrollment Data'!C52</f>
        <v>Fremont County Joint School District # 215</v>
      </c>
      <c r="D50">
        <v>0</v>
      </c>
      <c r="E50" s="37">
        <f>IF(settings!$G$4=0,'Student Enrollment Data'!BA52,'Student Enrollment Data'!CN52)</f>
        <v>1087</v>
      </c>
      <c r="F50" s="37">
        <f>IF(settings!$G$4=0,'Student Enrollment Data'!BB52,'Student Enrollment Data'!CO52)</f>
        <v>1018</v>
      </c>
      <c r="G50" s="42">
        <f t="shared" si="0"/>
        <v>2105</v>
      </c>
      <c r="H50">
        <f>IF(G50&lt;20000,0,IF(G50&gt;19999,settings!$Q$3,('Large District Weight'!G50*settings!$P$6)+settings!P55))</f>
        <v>0</v>
      </c>
    </row>
    <row r="51" spans="1:8">
      <c r="A51" t="str">
        <f>'Student Enrollment Data'!A53</f>
        <v>221</v>
      </c>
      <c r="B51">
        <f>'Student Enrollment Data'!B53</f>
        <v>221</v>
      </c>
      <c r="C51" t="str">
        <f>'Student Enrollment Data'!C53</f>
        <v>Emmett Independent School District # 221</v>
      </c>
      <c r="D51">
        <v>0</v>
      </c>
      <c r="E51" s="37">
        <f>IF(settings!$G$4=0,'Student Enrollment Data'!BA53,'Student Enrollment Data'!CN53)</f>
        <v>1314.5</v>
      </c>
      <c r="F51" s="37">
        <f>IF(settings!$G$4=0,'Student Enrollment Data'!BB53,'Student Enrollment Data'!CO53)</f>
        <v>1009</v>
      </c>
      <c r="G51" s="42">
        <f t="shared" si="0"/>
        <v>2323.5</v>
      </c>
      <c r="H51">
        <f>IF(G51&lt;20000,0,IF(G51&gt;19999,settings!$Q$3,('Large District Weight'!G51*settings!$P$6)+settings!P56))</f>
        <v>0</v>
      </c>
    </row>
    <row r="52" spans="1:8">
      <c r="A52" t="str">
        <f>'Student Enrollment Data'!A54</f>
        <v>231</v>
      </c>
      <c r="B52">
        <f>'Student Enrollment Data'!B54</f>
        <v>231</v>
      </c>
      <c r="C52" t="str">
        <f>'Student Enrollment Data'!C54</f>
        <v>Gooding Joint School District # 231</v>
      </c>
      <c r="D52">
        <v>0</v>
      </c>
      <c r="E52" s="37">
        <f>IF(settings!$G$4=0,'Student Enrollment Data'!BA54,'Student Enrollment Data'!CN54)</f>
        <v>682.5</v>
      </c>
      <c r="F52" s="37">
        <f>IF(settings!$G$4=0,'Student Enrollment Data'!BB54,'Student Enrollment Data'!CO54)</f>
        <v>624</v>
      </c>
      <c r="G52" s="42">
        <f t="shared" si="0"/>
        <v>1306.5</v>
      </c>
      <c r="H52">
        <f>IF(G52&lt;20000,0,IF(G52&gt;19999,settings!$Q$3,('Large District Weight'!G52*settings!$P$6)+settings!P57))</f>
        <v>0</v>
      </c>
    </row>
    <row r="53" spans="1:8">
      <c r="A53" t="str">
        <f>'Student Enrollment Data'!A55</f>
        <v>232</v>
      </c>
      <c r="B53">
        <f>'Student Enrollment Data'!B55</f>
        <v>232</v>
      </c>
      <c r="C53" t="str">
        <f>'Student Enrollment Data'!C55</f>
        <v>Wendell School District # 232</v>
      </c>
      <c r="D53">
        <v>0</v>
      </c>
      <c r="E53" s="37">
        <f>IF(settings!$G$4=0,'Student Enrollment Data'!BA55,'Student Enrollment Data'!CN55)</f>
        <v>551</v>
      </c>
      <c r="F53" s="37">
        <f>IF(settings!$G$4=0,'Student Enrollment Data'!BB55,'Student Enrollment Data'!CO55)</f>
        <v>472</v>
      </c>
      <c r="G53" s="42">
        <f t="shared" si="0"/>
        <v>1023</v>
      </c>
      <c r="H53">
        <f>IF(G53&lt;20000,0,IF(G53&gt;19999,settings!$Q$3,('Large District Weight'!G53*settings!$P$6)+settings!P58))</f>
        <v>0</v>
      </c>
    </row>
    <row r="54" spans="1:8">
      <c r="A54" t="str">
        <f>'Student Enrollment Data'!A56</f>
        <v>233</v>
      </c>
      <c r="B54">
        <f>'Student Enrollment Data'!B56</f>
        <v>233</v>
      </c>
      <c r="C54" t="str">
        <f>'Student Enrollment Data'!C56</f>
        <v>Hagerman Joint School District # 233</v>
      </c>
      <c r="D54">
        <v>0</v>
      </c>
      <c r="E54" s="37">
        <f>IF(settings!$G$4=0,'Student Enrollment Data'!BA56,'Student Enrollment Data'!CN56)</f>
        <v>171.5</v>
      </c>
      <c r="F54" s="37">
        <f>IF(settings!$G$4=0,'Student Enrollment Data'!BB56,'Student Enrollment Data'!CO56)</f>
        <v>109</v>
      </c>
      <c r="G54" s="42">
        <f t="shared" si="0"/>
        <v>280.5</v>
      </c>
      <c r="H54">
        <f>IF(G54&lt;20000,0,IF(G54&gt;19999,settings!$Q$3,('Large District Weight'!G54*settings!$P$6)+settings!P59))</f>
        <v>0</v>
      </c>
    </row>
    <row r="55" spans="1:8">
      <c r="A55" t="str">
        <f>'Student Enrollment Data'!A57</f>
        <v>234</v>
      </c>
      <c r="B55">
        <f>'Student Enrollment Data'!B57</f>
        <v>234</v>
      </c>
      <c r="C55" t="str">
        <f>'Student Enrollment Data'!C57</f>
        <v>Bliss Joint School District # 234</v>
      </c>
      <c r="D55">
        <v>0</v>
      </c>
      <c r="E55" s="37">
        <f>IF(settings!$G$4=0,'Student Enrollment Data'!BA57,'Student Enrollment Data'!CN57)</f>
        <v>75</v>
      </c>
      <c r="F55" s="37">
        <f>IF(settings!$G$4=0,'Student Enrollment Data'!BB57,'Student Enrollment Data'!CO57)</f>
        <v>100</v>
      </c>
      <c r="G55" s="42">
        <f t="shared" si="0"/>
        <v>175</v>
      </c>
      <c r="H55">
        <f>IF(G55&lt;20000,0,IF(G55&gt;19999,settings!$Q$3,('Large District Weight'!G55*settings!$P$6)+settings!P60))</f>
        <v>0</v>
      </c>
    </row>
    <row r="56" spans="1:8">
      <c r="A56" t="str">
        <f>'Student Enrollment Data'!A58</f>
        <v>242</v>
      </c>
      <c r="B56">
        <f>'Student Enrollment Data'!B58</f>
        <v>242</v>
      </c>
      <c r="C56" t="str">
        <f>'Student Enrollment Data'!C58</f>
        <v>Cottonwood Joint School District # 242</v>
      </c>
      <c r="D56">
        <v>0</v>
      </c>
      <c r="E56" s="37">
        <f>IF(settings!$G$4=0,'Student Enrollment Data'!BA58,'Student Enrollment Data'!CN58)</f>
        <v>194</v>
      </c>
      <c r="F56" s="37">
        <f>IF(settings!$G$4=0,'Student Enrollment Data'!BB58,'Student Enrollment Data'!CO58)</f>
        <v>175</v>
      </c>
      <c r="G56" s="42">
        <f t="shared" si="0"/>
        <v>369</v>
      </c>
      <c r="H56">
        <f>IF(G56&lt;20000,0,IF(G56&gt;19999,settings!$Q$3,('Large District Weight'!G56*settings!$P$6)+settings!P61))</f>
        <v>0</v>
      </c>
    </row>
    <row r="57" spans="1:8">
      <c r="A57" t="str">
        <f>'Student Enrollment Data'!A59</f>
        <v>243</v>
      </c>
      <c r="B57">
        <f>'Student Enrollment Data'!B59</f>
        <v>243</v>
      </c>
      <c r="C57" t="str">
        <f>'Student Enrollment Data'!C59</f>
        <v>Salmon River Joint School District # 243</v>
      </c>
      <c r="D57">
        <v>0</v>
      </c>
      <c r="E57" s="37">
        <f>IF(settings!$G$4=0,'Student Enrollment Data'!BA59,'Student Enrollment Data'!CN59)</f>
        <v>58.5</v>
      </c>
      <c r="F57" s="37">
        <f>IF(settings!$G$4=0,'Student Enrollment Data'!BB59,'Student Enrollment Data'!CO59)</f>
        <v>100</v>
      </c>
      <c r="G57" s="42">
        <f t="shared" si="0"/>
        <v>158.5</v>
      </c>
      <c r="H57">
        <f>IF(G57&lt;20000,0,IF(G57&gt;19999,settings!$Q$3,('Large District Weight'!G57*settings!$P$6)+settings!P62))</f>
        <v>0</v>
      </c>
    </row>
    <row r="58" spans="1:8">
      <c r="A58" t="str">
        <f>'Student Enrollment Data'!A60</f>
        <v>244</v>
      </c>
      <c r="B58">
        <f>'Student Enrollment Data'!B60</f>
        <v>244</v>
      </c>
      <c r="C58" t="str">
        <f>'Student Enrollment Data'!C60</f>
        <v>Mountain View School District # 244</v>
      </c>
      <c r="D58">
        <v>0</v>
      </c>
      <c r="E58" s="37">
        <f>IF(settings!$G$4=0,'Student Enrollment Data'!BA60,'Student Enrollment Data'!CN60)</f>
        <v>627</v>
      </c>
      <c r="F58" s="37">
        <f>IF(settings!$G$4=0,'Student Enrollment Data'!BB60,'Student Enrollment Data'!CO60)</f>
        <v>573</v>
      </c>
      <c r="G58" s="42">
        <f t="shared" si="0"/>
        <v>1200</v>
      </c>
      <c r="H58">
        <f>IF(G58&lt;20000,0,IF(G58&gt;19999,settings!$Q$3,('Large District Weight'!G58*settings!$P$6)+settings!P63))</f>
        <v>0</v>
      </c>
    </row>
    <row r="59" spans="1:8">
      <c r="A59" t="str">
        <f>'Student Enrollment Data'!A61</f>
        <v>251</v>
      </c>
      <c r="B59">
        <f>'Student Enrollment Data'!B61</f>
        <v>251</v>
      </c>
      <c r="C59" t="str">
        <f>'Student Enrollment Data'!C61</f>
        <v>Jefferson County Joint School District # 251</v>
      </c>
      <c r="D59">
        <v>0</v>
      </c>
      <c r="E59" s="37">
        <f>IF(settings!$G$4=0,'Student Enrollment Data'!BA61,'Student Enrollment Data'!CN61)</f>
        <v>3190.5</v>
      </c>
      <c r="F59" s="37">
        <f>IF(settings!$G$4=0,'Student Enrollment Data'!BB61,'Student Enrollment Data'!CO61)</f>
        <v>2629</v>
      </c>
      <c r="G59" s="42">
        <f t="shared" si="0"/>
        <v>5819.5</v>
      </c>
      <c r="H59">
        <f>IF(G59&lt;20000,0,IF(G59&gt;19999,settings!$Q$3,('Large District Weight'!G59*settings!$P$6)+settings!P64))</f>
        <v>0</v>
      </c>
    </row>
    <row r="60" spans="1:8">
      <c r="A60" t="str">
        <f>'Student Enrollment Data'!A62</f>
        <v>252</v>
      </c>
      <c r="B60">
        <f>'Student Enrollment Data'!B62</f>
        <v>252</v>
      </c>
      <c r="C60" t="str">
        <f>'Student Enrollment Data'!C62</f>
        <v>Ririe Joint School District # 252</v>
      </c>
      <c r="D60">
        <v>0</v>
      </c>
      <c r="E60" s="37">
        <f>IF(settings!$G$4=0,'Student Enrollment Data'!BA62,'Student Enrollment Data'!CN62)</f>
        <v>314.5</v>
      </c>
      <c r="F60" s="37">
        <f>IF(settings!$G$4=0,'Student Enrollment Data'!BB62,'Student Enrollment Data'!CO62)</f>
        <v>361</v>
      </c>
      <c r="G60" s="42">
        <f t="shared" si="0"/>
        <v>675.5</v>
      </c>
      <c r="H60">
        <f>IF(G60&lt;20000,0,IF(G60&gt;19999,settings!$Q$3,('Large District Weight'!G60*settings!$P$6)+settings!P65))</f>
        <v>0</v>
      </c>
    </row>
    <row r="61" spans="1:8">
      <c r="A61" t="str">
        <f>'Student Enrollment Data'!A63</f>
        <v>253</v>
      </c>
      <c r="B61">
        <f>'Student Enrollment Data'!B63</f>
        <v>253</v>
      </c>
      <c r="C61" t="str">
        <f>'Student Enrollment Data'!C63</f>
        <v>West Jefferson School District # 253</v>
      </c>
      <c r="D61">
        <v>0</v>
      </c>
      <c r="E61" s="37">
        <f>IF(settings!$G$4=0,'Student Enrollment Data'!BA63,'Student Enrollment Data'!CN63)</f>
        <v>269</v>
      </c>
      <c r="F61" s="37">
        <f>IF(settings!$G$4=0,'Student Enrollment Data'!BB63,'Student Enrollment Data'!CO63)</f>
        <v>307</v>
      </c>
      <c r="G61" s="42">
        <f t="shared" si="0"/>
        <v>576</v>
      </c>
      <c r="H61">
        <f>IF(G61&lt;20000,0,IF(G61&gt;19999,settings!$Q$3,('Large District Weight'!G61*settings!$P$6)+settings!P66))</f>
        <v>0</v>
      </c>
    </row>
    <row r="62" spans="1:8">
      <c r="A62" t="str">
        <f>'Student Enrollment Data'!A64</f>
        <v>261</v>
      </c>
      <c r="B62">
        <f>'Student Enrollment Data'!B64</f>
        <v>261</v>
      </c>
      <c r="C62" t="str">
        <f>'Student Enrollment Data'!C64</f>
        <v>Jerome Joint School District # 261</v>
      </c>
      <c r="D62">
        <v>0</v>
      </c>
      <c r="E62" s="37">
        <f>IF(settings!$G$4=0,'Student Enrollment Data'!BA64,'Student Enrollment Data'!CN64)</f>
        <v>2083.5</v>
      </c>
      <c r="F62" s="37">
        <f>IF(settings!$G$4=0,'Student Enrollment Data'!BB64,'Student Enrollment Data'!CO64)</f>
        <v>1791</v>
      </c>
      <c r="G62" s="42">
        <f t="shared" si="0"/>
        <v>3874.5</v>
      </c>
      <c r="H62">
        <f>IF(G62&lt;20000,0,IF(G62&gt;19999,settings!$Q$3,('Large District Weight'!G62*settings!$P$6)+settings!P67))</f>
        <v>0</v>
      </c>
    </row>
    <row r="63" spans="1:8">
      <c r="A63" t="str">
        <f>'Student Enrollment Data'!A65</f>
        <v>262</v>
      </c>
      <c r="B63">
        <f>'Student Enrollment Data'!B65</f>
        <v>262</v>
      </c>
      <c r="C63" t="str">
        <f>'Student Enrollment Data'!C65</f>
        <v>Valley School District # 262</v>
      </c>
      <c r="D63">
        <v>0</v>
      </c>
      <c r="E63" s="37">
        <f>IF(settings!$G$4=0,'Student Enrollment Data'!BA65,'Student Enrollment Data'!CN65)</f>
        <v>304.5</v>
      </c>
      <c r="F63" s="37">
        <f>IF(settings!$G$4=0,'Student Enrollment Data'!BB65,'Student Enrollment Data'!CO65)</f>
        <v>270</v>
      </c>
      <c r="G63" s="42">
        <f t="shared" si="0"/>
        <v>574.5</v>
      </c>
      <c r="H63">
        <f>IF(G63&lt;20000,0,IF(G63&gt;19999,settings!$Q$3,('Large District Weight'!G63*settings!$P$6)+settings!P68))</f>
        <v>0</v>
      </c>
    </row>
    <row r="64" spans="1:8">
      <c r="A64" t="str">
        <f>'Student Enrollment Data'!A66</f>
        <v>271</v>
      </c>
      <c r="B64">
        <f>'Student Enrollment Data'!B66</f>
        <v>271</v>
      </c>
      <c r="C64" t="str">
        <f>'Student Enrollment Data'!C66</f>
        <v>Coeur d' Alene School District # 271</v>
      </c>
      <c r="D64">
        <v>0</v>
      </c>
      <c r="E64" s="37">
        <f>IF(settings!$G$4=0,'Student Enrollment Data'!BA66,'Student Enrollment Data'!CN66)</f>
        <v>5562</v>
      </c>
      <c r="F64" s="37">
        <f>IF(settings!$G$4=0,'Student Enrollment Data'!BB66,'Student Enrollment Data'!CO66)</f>
        <v>4818</v>
      </c>
      <c r="G64" s="42">
        <f t="shared" si="0"/>
        <v>10380</v>
      </c>
      <c r="H64">
        <f>IF(G64&lt;20000,0,IF(G64&gt;19999,settings!$Q$3,('Large District Weight'!G64*settings!$P$6)+settings!P69))</f>
        <v>0</v>
      </c>
    </row>
    <row r="65" spans="1:8">
      <c r="A65" t="str">
        <f>'Student Enrollment Data'!A67</f>
        <v>272</v>
      </c>
      <c r="B65">
        <f>'Student Enrollment Data'!B67</f>
        <v>272</v>
      </c>
      <c r="C65" t="str">
        <f>'Student Enrollment Data'!C67</f>
        <v>Lakeland School District # 272</v>
      </c>
      <c r="D65">
        <v>0</v>
      </c>
      <c r="E65" s="37">
        <f>IF(settings!$G$4=0,'Student Enrollment Data'!BA67,'Student Enrollment Data'!CN67)</f>
        <v>2076</v>
      </c>
      <c r="F65" s="37">
        <f>IF(settings!$G$4=0,'Student Enrollment Data'!BB67,'Student Enrollment Data'!CO67)</f>
        <v>2211</v>
      </c>
      <c r="G65" s="42">
        <f t="shared" si="0"/>
        <v>4287</v>
      </c>
      <c r="H65">
        <f>IF(G65&lt;20000,0,IF(G65&gt;19999,settings!$Q$3,('Large District Weight'!G65*settings!$P$6)+settings!P70))</f>
        <v>0</v>
      </c>
    </row>
    <row r="66" spans="1:8">
      <c r="A66" t="str">
        <f>'Student Enrollment Data'!A68</f>
        <v>273</v>
      </c>
      <c r="B66">
        <f>'Student Enrollment Data'!B68</f>
        <v>273</v>
      </c>
      <c r="C66" t="str">
        <f>'Student Enrollment Data'!C68</f>
        <v>Post Falls School District # 273</v>
      </c>
      <c r="D66">
        <v>0</v>
      </c>
      <c r="E66" s="37">
        <f>IF(settings!$G$4=0,'Student Enrollment Data'!BA68,'Student Enrollment Data'!CN68)</f>
        <v>3128.5</v>
      </c>
      <c r="F66" s="37">
        <f>IF(settings!$G$4=0,'Student Enrollment Data'!BB68,'Student Enrollment Data'!CO68)</f>
        <v>2661</v>
      </c>
      <c r="G66" s="42">
        <f t="shared" si="0"/>
        <v>5789.5</v>
      </c>
      <c r="H66">
        <f>IF(G66&lt;20000,0,IF(G66&gt;19999,settings!$Q$3,('Large District Weight'!G66*settings!$P$6)+settings!P71))</f>
        <v>0</v>
      </c>
    </row>
    <row r="67" spans="1:8">
      <c r="A67" t="str">
        <f>'Student Enrollment Data'!A69</f>
        <v>274</v>
      </c>
      <c r="B67">
        <f>'Student Enrollment Data'!B69</f>
        <v>274</v>
      </c>
      <c r="C67" t="str">
        <f>'Student Enrollment Data'!C69</f>
        <v>Kootenai Joint School District # 274</v>
      </c>
      <c r="D67">
        <v>0</v>
      </c>
      <c r="E67" s="37">
        <f>IF(settings!$G$4=0,'Student Enrollment Data'!BA69,'Student Enrollment Data'!CN69)</f>
        <v>67.5</v>
      </c>
      <c r="F67" s="37">
        <f>IF(settings!$G$4=0,'Student Enrollment Data'!BB69,'Student Enrollment Data'!CO69)</f>
        <v>100</v>
      </c>
      <c r="G67" s="42">
        <f t="shared" ref="G67:G130" si="1">E67+F67</f>
        <v>167.5</v>
      </c>
      <c r="H67">
        <f>IF(G67&lt;20000,0,IF(G67&gt;19999,settings!$Q$3,('Large District Weight'!G67*settings!$P$6)+settings!P72))</f>
        <v>0</v>
      </c>
    </row>
    <row r="68" spans="1:8">
      <c r="A68" t="str">
        <f>'Student Enrollment Data'!A70</f>
        <v>281</v>
      </c>
      <c r="B68">
        <f>'Student Enrollment Data'!B70</f>
        <v>281</v>
      </c>
      <c r="C68" t="str">
        <f>'Student Enrollment Data'!C70</f>
        <v>Moscow School District # 281</v>
      </c>
      <c r="D68">
        <v>0</v>
      </c>
      <c r="E68" s="37">
        <f>IF(settings!$G$4=0,'Student Enrollment Data'!BA70,'Student Enrollment Data'!CN70)</f>
        <v>1098</v>
      </c>
      <c r="F68" s="37">
        <f>IF(settings!$G$4=0,'Student Enrollment Data'!BB70,'Student Enrollment Data'!CO70)</f>
        <v>1147</v>
      </c>
      <c r="G68" s="42">
        <f t="shared" si="1"/>
        <v>2245</v>
      </c>
      <c r="H68">
        <f>IF(G68&lt;20000,0,IF(G68&gt;19999,settings!$Q$3,('Large District Weight'!G68*settings!$P$6)+settings!P73))</f>
        <v>0</v>
      </c>
    </row>
    <row r="69" spans="1:8">
      <c r="A69" t="str">
        <f>'Student Enrollment Data'!A71</f>
        <v>282</v>
      </c>
      <c r="B69">
        <f>'Student Enrollment Data'!B71</f>
        <v>282</v>
      </c>
      <c r="C69" t="str">
        <f>'Student Enrollment Data'!C71</f>
        <v>Genesee Joint School District # 282</v>
      </c>
      <c r="D69">
        <v>0</v>
      </c>
      <c r="E69" s="37">
        <f>IF(settings!$G$4=0,'Student Enrollment Data'!BA71,'Student Enrollment Data'!CN71)</f>
        <v>135</v>
      </c>
      <c r="F69" s="37">
        <f>IF(settings!$G$4=0,'Student Enrollment Data'!BB71,'Student Enrollment Data'!CO71)</f>
        <v>147</v>
      </c>
      <c r="G69" s="42">
        <f t="shared" si="1"/>
        <v>282</v>
      </c>
      <c r="H69">
        <f>IF(G69&lt;20000,0,IF(G69&gt;19999,settings!$Q$3,('Large District Weight'!G69*settings!$P$6)+settings!P74))</f>
        <v>0</v>
      </c>
    </row>
    <row r="70" spans="1:8">
      <c r="A70" t="str">
        <f>'Student Enrollment Data'!A72</f>
        <v>283</v>
      </c>
      <c r="B70">
        <f>'Student Enrollment Data'!B72</f>
        <v>283</v>
      </c>
      <c r="C70" t="str">
        <f>'Student Enrollment Data'!C72</f>
        <v>Kendrick Joint School District # 283</v>
      </c>
      <c r="D70">
        <v>0</v>
      </c>
      <c r="E70" s="37">
        <f>IF(settings!$G$4=0,'Student Enrollment Data'!BA72,'Student Enrollment Data'!CN72)</f>
        <v>128</v>
      </c>
      <c r="F70" s="37">
        <f>IF(settings!$G$4=0,'Student Enrollment Data'!BB72,'Student Enrollment Data'!CO72)</f>
        <v>100</v>
      </c>
      <c r="G70" s="42">
        <f t="shared" si="1"/>
        <v>228</v>
      </c>
      <c r="H70">
        <f>IF(G70&lt;20000,0,IF(G70&gt;19999,settings!$Q$3,('Large District Weight'!G70*settings!$P$6)+settings!P75))</f>
        <v>0</v>
      </c>
    </row>
    <row r="71" spans="1:8">
      <c r="A71" t="str">
        <f>'Student Enrollment Data'!A73</f>
        <v>285</v>
      </c>
      <c r="B71">
        <f>'Student Enrollment Data'!B73</f>
        <v>285</v>
      </c>
      <c r="C71" t="str">
        <f>'Student Enrollment Data'!C73</f>
        <v>Potlatch School District # 285</v>
      </c>
      <c r="D71">
        <v>0</v>
      </c>
      <c r="E71" s="37">
        <f>IF(settings!$G$4=0,'Student Enrollment Data'!BA73,'Student Enrollment Data'!CN73)</f>
        <v>231.5</v>
      </c>
      <c r="F71" s="37">
        <f>IF(settings!$G$4=0,'Student Enrollment Data'!BB73,'Student Enrollment Data'!CO73)</f>
        <v>215</v>
      </c>
      <c r="G71" s="42">
        <f t="shared" si="1"/>
        <v>446.5</v>
      </c>
      <c r="H71">
        <f>IF(G71&lt;20000,0,IF(G71&gt;19999,settings!$Q$3,('Large District Weight'!G71*settings!$P$6)+settings!P76))</f>
        <v>0</v>
      </c>
    </row>
    <row r="72" spans="1:8">
      <c r="A72" t="str">
        <f>'Student Enrollment Data'!A74</f>
        <v>287</v>
      </c>
      <c r="B72">
        <f>'Student Enrollment Data'!B74</f>
        <v>287</v>
      </c>
      <c r="C72" t="str">
        <f>'Student Enrollment Data'!C74</f>
        <v>Troy  School District # 287</v>
      </c>
      <c r="D72">
        <v>0</v>
      </c>
      <c r="E72" s="37">
        <f>IF(settings!$G$4=0,'Student Enrollment Data'!BA74,'Student Enrollment Data'!CN74)</f>
        <v>130.5</v>
      </c>
      <c r="F72" s="37">
        <f>IF(settings!$G$4=0,'Student Enrollment Data'!BB74,'Student Enrollment Data'!CO74)</f>
        <v>131</v>
      </c>
      <c r="G72" s="42">
        <f t="shared" si="1"/>
        <v>261.5</v>
      </c>
      <c r="H72">
        <f>IF(G72&lt;20000,0,IF(G72&gt;19999,settings!$Q$3,('Large District Weight'!G72*settings!$P$6)+settings!P77))</f>
        <v>0</v>
      </c>
    </row>
    <row r="73" spans="1:8">
      <c r="A73" t="str">
        <f>'Student Enrollment Data'!A75</f>
        <v>288</v>
      </c>
      <c r="B73">
        <f>'Student Enrollment Data'!B75</f>
        <v>288</v>
      </c>
      <c r="C73" t="str">
        <f>'Student Enrollment Data'!C75</f>
        <v>Whitepine Joint School District # 288</v>
      </c>
      <c r="D73">
        <v>0</v>
      </c>
      <c r="E73" s="37">
        <f>IF(settings!$G$4=0,'Student Enrollment Data'!BA75,'Student Enrollment Data'!CN75)</f>
        <v>115.5</v>
      </c>
      <c r="F73" s="37">
        <f>IF(settings!$G$4=0,'Student Enrollment Data'!BB75,'Student Enrollment Data'!CO75)</f>
        <v>117</v>
      </c>
      <c r="G73" s="42">
        <f t="shared" si="1"/>
        <v>232.5</v>
      </c>
      <c r="H73">
        <f>IF(G73&lt;20000,0,IF(G73&gt;19999,settings!$Q$3,('Large District Weight'!G73*settings!$P$6)+settings!P78))</f>
        <v>0</v>
      </c>
    </row>
    <row r="74" spans="1:8">
      <c r="A74" t="str">
        <f>'Student Enrollment Data'!A76</f>
        <v>291</v>
      </c>
      <c r="B74">
        <f>'Student Enrollment Data'!B76</f>
        <v>291</v>
      </c>
      <c r="C74" t="str">
        <f>'Student Enrollment Data'!C76</f>
        <v>Salmon School District # 291</v>
      </c>
      <c r="D74">
        <v>0</v>
      </c>
      <c r="E74" s="37">
        <f>IF(settings!$G$4=0,'Student Enrollment Data'!BA76,'Student Enrollment Data'!CN76)</f>
        <v>355.5</v>
      </c>
      <c r="F74" s="37">
        <f>IF(settings!$G$4=0,'Student Enrollment Data'!BB76,'Student Enrollment Data'!CO76)</f>
        <v>396</v>
      </c>
      <c r="G74" s="42">
        <f t="shared" si="1"/>
        <v>751.5</v>
      </c>
      <c r="H74">
        <f>IF(G74&lt;20000,0,IF(G74&gt;19999,settings!$Q$3,('Large District Weight'!G74*settings!$P$6)+settings!P79))</f>
        <v>0</v>
      </c>
    </row>
    <row r="75" spans="1:8">
      <c r="A75" t="str">
        <f>'Student Enrollment Data'!A77</f>
        <v>292</v>
      </c>
      <c r="B75">
        <f>'Student Enrollment Data'!B77</f>
        <v>292</v>
      </c>
      <c r="C75" t="str">
        <f>'Student Enrollment Data'!C77</f>
        <v>South Lemhi School District # 292</v>
      </c>
      <c r="D75">
        <v>0</v>
      </c>
      <c r="E75" s="37">
        <f>IF(settings!$G$4=0,'Student Enrollment Data'!BA77,'Student Enrollment Data'!CN77)</f>
        <v>65.5</v>
      </c>
      <c r="F75" s="37">
        <f>IF(settings!$G$4=0,'Student Enrollment Data'!BB77,'Student Enrollment Data'!CO77)</f>
        <v>100</v>
      </c>
      <c r="G75" s="42">
        <f t="shared" si="1"/>
        <v>165.5</v>
      </c>
      <c r="H75">
        <f>IF(G75&lt;20000,0,IF(G75&gt;19999,settings!$Q$3,('Large District Weight'!G75*settings!$P$6)+settings!P80))</f>
        <v>0</v>
      </c>
    </row>
    <row r="76" spans="1:8">
      <c r="A76" t="str">
        <f>'Student Enrollment Data'!A78</f>
        <v>302</v>
      </c>
      <c r="B76">
        <f>'Student Enrollment Data'!B78</f>
        <v>302</v>
      </c>
      <c r="C76" t="str">
        <f>'Student Enrollment Data'!C78</f>
        <v>Nezperce Joint School District # 302</v>
      </c>
      <c r="D76">
        <v>0</v>
      </c>
      <c r="E76" s="37">
        <f>IF(settings!$G$4=0,'Student Enrollment Data'!BA78,'Student Enrollment Data'!CN78)</f>
        <v>73</v>
      </c>
      <c r="F76" s="37">
        <f>IF(settings!$G$4=0,'Student Enrollment Data'!BB78,'Student Enrollment Data'!CO78)</f>
        <v>100</v>
      </c>
      <c r="G76" s="42">
        <f t="shared" si="1"/>
        <v>173</v>
      </c>
      <c r="H76">
        <f>IF(G76&lt;20000,0,IF(G76&gt;19999,settings!$Q$3,('Large District Weight'!G76*settings!$P$6)+settings!P81))</f>
        <v>0</v>
      </c>
    </row>
    <row r="77" spans="1:8">
      <c r="A77" t="str">
        <f>'Student Enrollment Data'!A79</f>
        <v>304</v>
      </c>
      <c r="B77">
        <f>'Student Enrollment Data'!B79</f>
        <v>304</v>
      </c>
      <c r="C77" t="str">
        <f>'Student Enrollment Data'!C79</f>
        <v>Kamiah Joint School District # 304</v>
      </c>
      <c r="D77">
        <v>0</v>
      </c>
      <c r="E77" s="37">
        <f>IF(settings!$G$4=0,'Student Enrollment Data'!BA79,'Student Enrollment Data'!CN79)</f>
        <v>186</v>
      </c>
      <c r="F77" s="37">
        <f>IF(settings!$G$4=0,'Student Enrollment Data'!BB79,'Student Enrollment Data'!CO79)</f>
        <v>221</v>
      </c>
      <c r="G77" s="42">
        <f t="shared" si="1"/>
        <v>407</v>
      </c>
      <c r="H77">
        <f>IF(G77&lt;20000,0,IF(G77&gt;19999,settings!$Q$3,('Large District Weight'!G77*settings!$P$6)+settings!P82))</f>
        <v>0</v>
      </c>
    </row>
    <row r="78" spans="1:8">
      <c r="A78" t="str">
        <f>'Student Enrollment Data'!A80</f>
        <v>305</v>
      </c>
      <c r="B78">
        <f>'Student Enrollment Data'!B80</f>
        <v>305</v>
      </c>
      <c r="C78" t="str">
        <f>'Student Enrollment Data'!C80</f>
        <v>Highland Joint School District # 305</v>
      </c>
      <c r="D78">
        <v>0</v>
      </c>
      <c r="E78" s="37">
        <f>IF(settings!$G$4=0,'Student Enrollment Data'!BA80,'Student Enrollment Data'!CN80)</f>
        <v>84</v>
      </c>
      <c r="F78" s="37">
        <f>IF(settings!$G$4=0,'Student Enrollment Data'!BB80,'Student Enrollment Data'!CO80)</f>
        <v>100</v>
      </c>
      <c r="G78" s="42">
        <f t="shared" si="1"/>
        <v>184</v>
      </c>
      <c r="H78">
        <f>IF(G78&lt;20000,0,IF(G78&gt;19999,settings!$Q$3,('Large District Weight'!G78*settings!$P$6)+settings!P83))</f>
        <v>0</v>
      </c>
    </row>
    <row r="79" spans="1:8">
      <c r="A79" t="str">
        <f>'Student Enrollment Data'!A81</f>
        <v>312</v>
      </c>
      <c r="B79">
        <f>'Student Enrollment Data'!B81</f>
        <v>312</v>
      </c>
      <c r="C79" t="str">
        <f>'Student Enrollment Data'!C81</f>
        <v>Shoshone Joint School District # 312</v>
      </c>
      <c r="D79">
        <v>0</v>
      </c>
      <c r="E79" s="37">
        <f>IF(settings!$G$4=0,'Student Enrollment Data'!BA81,'Student Enrollment Data'!CN81)</f>
        <v>249.5</v>
      </c>
      <c r="F79" s="37">
        <f>IF(settings!$G$4=0,'Student Enrollment Data'!BB81,'Student Enrollment Data'!CO81)</f>
        <v>229</v>
      </c>
      <c r="G79" s="42">
        <f t="shared" si="1"/>
        <v>478.5</v>
      </c>
      <c r="H79">
        <f>IF(G79&lt;20000,0,IF(G79&gt;19999,settings!$Q$3,('Large District Weight'!G79*settings!$P$6)+settings!P84))</f>
        <v>0</v>
      </c>
    </row>
    <row r="80" spans="1:8">
      <c r="A80" t="str">
        <f>'Student Enrollment Data'!A82</f>
        <v>314</v>
      </c>
      <c r="B80">
        <f>'Student Enrollment Data'!B82</f>
        <v>314</v>
      </c>
      <c r="C80" t="str">
        <f>'Student Enrollment Data'!C82</f>
        <v>Dietrich School District # 314</v>
      </c>
      <c r="D80">
        <v>0</v>
      </c>
      <c r="E80" s="37">
        <f>IF(settings!$G$4=0,'Student Enrollment Data'!BA82,'Student Enrollment Data'!CN82)</f>
        <v>105</v>
      </c>
      <c r="F80" s="37">
        <f>IF(settings!$G$4=0,'Student Enrollment Data'!BB82,'Student Enrollment Data'!CO82)</f>
        <v>100</v>
      </c>
      <c r="G80" s="42">
        <f t="shared" si="1"/>
        <v>205</v>
      </c>
      <c r="H80">
        <f>IF(G80&lt;20000,0,IF(G80&gt;19999,settings!$Q$3,('Large District Weight'!G80*settings!$P$6)+settings!P85))</f>
        <v>0</v>
      </c>
    </row>
    <row r="81" spans="1:8">
      <c r="A81" t="str">
        <f>'Student Enrollment Data'!A83</f>
        <v>316</v>
      </c>
      <c r="B81">
        <f>'Student Enrollment Data'!B83</f>
        <v>316</v>
      </c>
      <c r="C81" t="str">
        <f>'Student Enrollment Data'!C83</f>
        <v>Richfield School District # 316</v>
      </c>
      <c r="D81">
        <v>0</v>
      </c>
      <c r="E81" s="37">
        <f>IF(settings!$G$4=0,'Student Enrollment Data'!BA83,'Student Enrollment Data'!CN83)</f>
        <v>105</v>
      </c>
      <c r="F81" s="37">
        <f>IF(settings!$G$4=0,'Student Enrollment Data'!BB83,'Student Enrollment Data'!CO83)</f>
        <v>100</v>
      </c>
      <c r="G81" s="42">
        <f t="shared" si="1"/>
        <v>205</v>
      </c>
      <c r="H81">
        <f>IF(G81&lt;20000,0,IF(G81&gt;19999,settings!$Q$3,('Large District Weight'!G81*settings!$P$6)+settings!P86))</f>
        <v>0</v>
      </c>
    </row>
    <row r="82" spans="1:8">
      <c r="A82" t="str">
        <f>'Student Enrollment Data'!A84</f>
        <v>321</v>
      </c>
      <c r="B82">
        <f>'Student Enrollment Data'!B84</f>
        <v>321</v>
      </c>
      <c r="C82" t="str">
        <f>'Student Enrollment Data'!C84</f>
        <v>Madison School District # 321</v>
      </c>
      <c r="D82">
        <v>0</v>
      </c>
      <c r="E82" s="37">
        <f>IF(settings!$G$4=0,'Student Enrollment Data'!BA84,'Student Enrollment Data'!CN84)</f>
        <v>2534</v>
      </c>
      <c r="F82" s="37">
        <f>IF(settings!$G$4=0,'Student Enrollment Data'!BB84,'Student Enrollment Data'!CO84)</f>
        <v>2470</v>
      </c>
      <c r="G82" s="42">
        <f t="shared" si="1"/>
        <v>5004</v>
      </c>
      <c r="H82">
        <f>IF(G82&lt;20000,0,IF(G82&gt;19999,settings!$Q$3,('Large District Weight'!G82*settings!$P$6)+settings!P87))</f>
        <v>0</v>
      </c>
    </row>
    <row r="83" spans="1:8">
      <c r="A83" t="str">
        <f>'Student Enrollment Data'!A85</f>
        <v>322</v>
      </c>
      <c r="B83">
        <f>'Student Enrollment Data'!B85</f>
        <v>322</v>
      </c>
      <c r="C83" t="str">
        <f>'Student Enrollment Data'!C85</f>
        <v>Sugar-Salem Joint School District # 322</v>
      </c>
      <c r="D83">
        <v>0</v>
      </c>
      <c r="E83" s="37">
        <f>IF(settings!$G$4=0,'Student Enrollment Data'!BA85,'Student Enrollment Data'!CN85)</f>
        <v>749</v>
      </c>
      <c r="F83" s="37">
        <f>IF(settings!$G$4=0,'Student Enrollment Data'!BB85,'Student Enrollment Data'!CO85)</f>
        <v>810</v>
      </c>
      <c r="G83" s="42">
        <f t="shared" si="1"/>
        <v>1559</v>
      </c>
      <c r="H83">
        <f>IF(G83&lt;20000,0,IF(G83&gt;19999,settings!$Q$3,('Large District Weight'!G83*settings!$P$6)+settings!P88))</f>
        <v>0</v>
      </c>
    </row>
    <row r="84" spans="1:8">
      <c r="A84" t="str">
        <f>'Student Enrollment Data'!A86</f>
        <v>331</v>
      </c>
      <c r="B84">
        <f>'Student Enrollment Data'!B86</f>
        <v>331</v>
      </c>
      <c r="C84" t="str">
        <f>'Student Enrollment Data'!C86</f>
        <v>Minidoka County Joint School District # 331</v>
      </c>
      <c r="D84">
        <v>0</v>
      </c>
      <c r="E84" s="37">
        <f>IF(settings!$G$4=0,'Student Enrollment Data'!BA86,'Student Enrollment Data'!CN86)</f>
        <v>2224</v>
      </c>
      <c r="F84" s="37">
        <f>IF(settings!$G$4=0,'Student Enrollment Data'!BB86,'Student Enrollment Data'!CO86)</f>
        <v>1814</v>
      </c>
      <c r="G84" s="42">
        <f t="shared" si="1"/>
        <v>4038</v>
      </c>
      <c r="H84">
        <f>IF(G84&lt;20000,0,IF(G84&gt;19999,settings!$Q$3,('Large District Weight'!G84*settings!$P$6)+settings!P89))</f>
        <v>0</v>
      </c>
    </row>
    <row r="85" spans="1:8">
      <c r="A85" t="str">
        <f>'Student Enrollment Data'!A87</f>
        <v>340</v>
      </c>
      <c r="B85">
        <f>'Student Enrollment Data'!B87</f>
        <v>340</v>
      </c>
      <c r="C85" t="str">
        <f>'Student Enrollment Data'!C87</f>
        <v>Lewiston Independent School District # 340</v>
      </c>
      <c r="D85">
        <v>0</v>
      </c>
      <c r="E85" s="37">
        <f>IF(settings!$G$4=0,'Student Enrollment Data'!BA87,'Student Enrollment Data'!CN87)</f>
        <v>2276</v>
      </c>
      <c r="F85" s="37">
        <f>IF(settings!$G$4=0,'Student Enrollment Data'!BB87,'Student Enrollment Data'!CO87)</f>
        <v>2236</v>
      </c>
      <c r="G85" s="42">
        <f t="shared" si="1"/>
        <v>4512</v>
      </c>
      <c r="H85">
        <f>IF(G85&lt;20000,0,IF(G85&gt;19999,settings!$Q$3,('Large District Weight'!G85*settings!$P$6)+settings!P90))</f>
        <v>0</v>
      </c>
    </row>
    <row r="86" spans="1:8">
      <c r="A86" t="str">
        <f>'Student Enrollment Data'!A88</f>
        <v>341</v>
      </c>
      <c r="B86">
        <f>'Student Enrollment Data'!B88</f>
        <v>341</v>
      </c>
      <c r="C86" t="str">
        <f>'Student Enrollment Data'!C88</f>
        <v>Lapwai School District # 341</v>
      </c>
      <c r="D86">
        <v>0</v>
      </c>
      <c r="E86" s="37">
        <f>IF(settings!$G$4=0,'Student Enrollment Data'!BA88,'Student Enrollment Data'!CN88)</f>
        <v>259.5</v>
      </c>
      <c r="F86" s="37">
        <f>IF(settings!$G$4=0,'Student Enrollment Data'!BB88,'Student Enrollment Data'!CO88)</f>
        <v>222</v>
      </c>
      <c r="G86" s="42">
        <f t="shared" si="1"/>
        <v>481.5</v>
      </c>
      <c r="H86">
        <f>IF(G86&lt;20000,0,IF(G86&gt;19999,settings!$Q$3,('Large District Weight'!G86*settings!$P$6)+settings!P91))</f>
        <v>0</v>
      </c>
    </row>
    <row r="87" spans="1:8">
      <c r="A87" t="str">
        <f>'Student Enrollment Data'!A89</f>
        <v>342</v>
      </c>
      <c r="B87">
        <f>'Student Enrollment Data'!B89</f>
        <v>342</v>
      </c>
      <c r="C87" t="str">
        <f>'Student Enrollment Data'!C89</f>
        <v>Culdesac Joint School District # 342</v>
      </c>
      <c r="D87">
        <v>0</v>
      </c>
      <c r="E87" s="37">
        <f>IF(settings!$G$4=0,'Student Enrollment Data'!BA89,'Student Enrollment Data'!CN89)</f>
        <v>44</v>
      </c>
      <c r="F87" s="37">
        <f>IF(settings!$G$4=0,'Student Enrollment Data'!BB89,'Student Enrollment Data'!CO89)</f>
        <v>100</v>
      </c>
      <c r="G87" s="42">
        <f t="shared" si="1"/>
        <v>144</v>
      </c>
      <c r="H87">
        <f>IF(G87&lt;20000,0,IF(G87&gt;19999,settings!$Q$3,('Large District Weight'!G87*settings!$P$6)+settings!P92))</f>
        <v>0</v>
      </c>
    </row>
    <row r="88" spans="1:8">
      <c r="A88" t="str">
        <f>'Student Enrollment Data'!A90</f>
        <v>351</v>
      </c>
      <c r="B88">
        <f>'Student Enrollment Data'!B90</f>
        <v>351</v>
      </c>
      <c r="C88" t="str">
        <f>'Student Enrollment Data'!C90</f>
        <v>Oneida County School District # 351</v>
      </c>
      <c r="D88">
        <v>0</v>
      </c>
      <c r="E88" s="37">
        <f>IF(settings!$G$4=0,'Student Enrollment Data'!BA90,'Student Enrollment Data'!CN90)</f>
        <v>1650</v>
      </c>
      <c r="F88" s="37">
        <f>IF(settings!$G$4=0,'Student Enrollment Data'!BB90,'Student Enrollment Data'!CO90)</f>
        <v>623</v>
      </c>
      <c r="G88" s="42">
        <f t="shared" si="1"/>
        <v>2273</v>
      </c>
      <c r="H88">
        <f>IF(G88&lt;20000,0,IF(G88&gt;19999,settings!$Q$3,('Large District Weight'!G88*settings!$P$6)+settings!P93))</f>
        <v>0</v>
      </c>
    </row>
    <row r="89" spans="1:8">
      <c r="A89" t="str">
        <f>'Student Enrollment Data'!A91</f>
        <v>363</v>
      </c>
      <c r="B89">
        <f>'Student Enrollment Data'!B91</f>
        <v>363</v>
      </c>
      <c r="C89" t="str">
        <f>'Student Enrollment Data'!C91</f>
        <v>Marsing Joint School District # 363</v>
      </c>
      <c r="D89">
        <v>0</v>
      </c>
      <c r="E89" s="37">
        <f>IF(settings!$G$4=0,'Student Enrollment Data'!BA91,'Student Enrollment Data'!CN91)</f>
        <v>422.5</v>
      </c>
      <c r="F89" s="37">
        <f>IF(settings!$G$4=0,'Student Enrollment Data'!BB91,'Student Enrollment Data'!CO91)</f>
        <v>404</v>
      </c>
      <c r="G89" s="42">
        <f t="shared" si="1"/>
        <v>826.5</v>
      </c>
      <c r="H89">
        <f>IF(G89&lt;20000,0,IF(G89&gt;19999,settings!$Q$3,('Large District Weight'!G89*settings!$P$6)+settings!P94))</f>
        <v>0</v>
      </c>
    </row>
    <row r="90" spans="1:8">
      <c r="A90" t="str">
        <f>'Student Enrollment Data'!A92</f>
        <v>364</v>
      </c>
      <c r="B90">
        <f>'Student Enrollment Data'!B92</f>
        <v>364</v>
      </c>
      <c r="C90" t="str">
        <f>'Student Enrollment Data'!C92</f>
        <v>Pleasant Valley Elem. School District # 364</v>
      </c>
      <c r="D90">
        <v>0</v>
      </c>
      <c r="E90" s="37">
        <f>IF(settings!$G$4=0,'Student Enrollment Data'!BA92,'Student Enrollment Data'!CN92)</f>
        <v>6</v>
      </c>
      <c r="F90" s="37">
        <f>IF(settings!$G$4=0,'Student Enrollment Data'!BB92,'Student Enrollment Data'!CO92)</f>
        <v>0</v>
      </c>
      <c r="G90" s="42">
        <f t="shared" si="1"/>
        <v>6</v>
      </c>
      <c r="H90">
        <f>IF(G90&lt;20000,0,IF(G90&gt;19999,settings!$Q$3,('Large District Weight'!G90*settings!$P$6)+settings!P95))</f>
        <v>0</v>
      </c>
    </row>
    <row r="91" spans="1:8">
      <c r="A91" t="str">
        <f>'Student Enrollment Data'!A93</f>
        <v>365</v>
      </c>
      <c r="B91">
        <f>'Student Enrollment Data'!B93</f>
        <v>365</v>
      </c>
      <c r="C91" t="str">
        <f>'Student Enrollment Data'!C93</f>
        <v>Bruneau-Grand View Jt. School District # 365</v>
      </c>
      <c r="D91">
        <v>0</v>
      </c>
      <c r="E91" s="37">
        <f>IF(settings!$G$4=0,'Student Enrollment Data'!BA93,'Student Enrollment Data'!CN93)</f>
        <v>143.5</v>
      </c>
      <c r="F91" s="37">
        <f>IF(settings!$G$4=0,'Student Enrollment Data'!BB93,'Student Enrollment Data'!CO93)</f>
        <v>147</v>
      </c>
      <c r="G91" s="42">
        <f t="shared" si="1"/>
        <v>290.5</v>
      </c>
      <c r="H91">
        <f>IF(G91&lt;20000,0,IF(G91&gt;19999,settings!$Q$3,('Large District Weight'!G91*settings!$P$6)+settings!P96))</f>
        <v>0</v>
      </c>
    </row>
    <row r="92" spans="1:8">
      <c r="A92" t="str">
        <f>'Student Enrollment Data'!A94</f>
        <v>370</v>
      </c>
      <c r="B92">
        <f>'Student Enrollment Data'!B94</f>
        <v>370</v>
      </c>
      <c r="C92" t="str">
        <f>'Student Enrollment Data'!C94</f>
        <v>Homedale Joint School District # 370</v>
      </c>
      <c r="D92">
        <v>0</v>
      </c>
      <c r="E92" s="37">
        <f>IF(settings!$G$4=0,'Student Enrollment Data'!BA94,'Student Enrollment Data'!CN94)</f>
        <v>610</v>
      </c>
      <c r="F92" s="37">
        <f>IF(settings!$G$4=0,'Student Enrollment Data'!BB94,'Student Enrollment Data'!CO94)</f>
        <v>558</v>
      </c>
      <c r="G92" s="42">
        <f t="shared" si="1"/>
        <v>1168</v>
      </c>
      <c r="H92">
        <f>IF(G92&lt;20000,0,IF(G92&gt;19999,settings!$Q$3,('Large District Weight'!G92*settings!$P$6)+settings!P97))</f>
        <v>0</v>
      </c>
    </row>
    <row r="93" spans="1:8">
      <c r="A93" t="str">
        <f>'Student Enrollment Data'!A95</f>
        <v>371</v>
      </c>
      <c r="B93">
        <f>'Student Enrollment Data'!B95</f>
        <v>371</v>
      </c>
      <c r="C93" t="str">
        <f>'Student Enrollment Data'!C95</f>
        <v>Payette Joint School District # 371</v>
      </c>
      <c r="D93">
        <v>0</v>
      </c>
      <c r="E93" s="37">
        <f>IF(settings!$G$4=0,'Student Enrollment Data'!BA95,'Student Enrollment Data'!CN95)</f>
        <v>794</v>
      </c>
      <c r="F93" s="37">
        <f>IF(settings!$G$4=0,'Student Enrollment Data'!BB95,'Student Enrollment Data'!CO95)</f>
        <v>689</v>
      </c>
      <c r="G93" s="42">
        <f t="shared" si="1"/>
        <v>1483</v>
      </c>
      <c r="H93">
        <f>IF(G93&lt;20000,0,IF(G93&gt;19999,settings!$Q$3,('Large District Weight'!G93*settings!$P$6)+settings!P98))</f>
        <v>0</v>
      </c>
    </row>
    <row r="94" spans="1:8">
      <c r="A94" t="str">
        <f>'Student Enrollment Data'!A96</f>
        <v>372</v>
      </c>
      <c r="B94">
        <f>'Student Enrollment Data'!B96</f>
        <v>372</v>
      </c>
      <c r="C94" t="str">
        <f>'Student Enrollment Data'!C96</f>
        <v>New Plymouth School District # 372</v>
      </c>
      <c r="D94">
        <v>0</v>
      </c>
      <c r="E94" s="37">
        <f>IF(settings!$G$4=0,'Student Enrollment Data'!BA96,'Student Enrollment Data'!CN96)</f>
        <v>470.5</v>
      </c>
      <c r="F94" s="37">
        <f>IF(settings!$G$4=0,'Student Enrollment Data'!BB96,'Student Enrollment Data'!CO96)</f>
        <v>477</v>
      </c>
      <c r="G94" s="42">
        <f t="shared" si="1"/>
        <v>947.5</v>
      </c>
      <c r="H94">
        <f>IF(G94&lt;20000,0,IF(G94&gt;19999,settings!$Q$3,('Large District Weight'!G94*settings!$P$6)+settings!P99))</f>
        <v>0</v>
      </c>
    </row>
    <row r="95" spans="1:8">
      <c r="A95" t="str">
        <f>'Student Enrollment Data'!A97</f>
        <v>373</v>
      </c>
      <c r="B95">
        <f>'Student Enrollment Data'!B97</f>
        <v>373</v>
      </c>
      <c r="C95" t="str">
        <f>'Student Enrollment Data'!C97</f>
        <v>Fruitland School District # 373</v>
      </c>
      <c r="D95">
        <v>0</v>
      </c>
      <c r="E95" s="37">
        <f>IF(settings!$G$4=0,'Student Enrollment Data'!BA97,'Student Enrollment Data'!CN97)</f>
        <v>869.5</v>
      </c>
      <c r="F95" s="37">
        <f>IF(settings!$G$4=0,'Student Enrollment Data'!BB97,'Student Enrollment Data'!CO97)</f>
        <v>825</v>
      </c>
      <c r="G95" s="42">
        <f t="shared" si="1"/>
        <v>1694.5</v>
      </c>
      <c r="H95">
        <f>IF(G95&lt;20000,0,IF(G95&gt;19999,settings!$Q$3,('Large District Weight'!G95*settings!$P$6)+settings!P100))</f>
        <v>0</v>
      </c>
    </row>
    <row r="96" spans="1:8">
      <c r="A96" t="str">
        <f>'Student Enrollment Data'!A98</f>
        <v>381</v>
      </c>
      <c r="B96">
        <f>'Student Enrollment Data'!B98</f>
        <v>381</v>
      </c>
      <c r="C96" t="str">
        <f>'Student Enrollment Data'!C98</f>
        <v>American Falls Joint School District # 381</v>
      </c>
      <c r="D96">
        <v>0</v>
      </c>
      <c r="E96" s="37">
        <f>IF(settings!$G$4=0,'Student Enrollment Data'!BA98,'Student Enrollment Data'!CN98)</f>
        <v>731</v>
      </c>
      <c r="F96" s="37">
        <f>IF(settings!$G$4=0,'Student Enrollment Data'!BB98,'Student Enrollment Data'!CO98)</f>
        <v>673</v>
      </c>
      <c r="G96" s="42">
        <f t="shared" si="1"/>
        <v>1404</v>
      </c>
      <c r="H96">
        <f>IF(G96&lt;20000,0,IF(G96&gt;19999,settings!$Q$3,('Large District Weight'!G96*settings!$P$6)+settings!P101))</f>
        <v>0</v>
      </c>
    </row>
    <row r="97" spans="1:8">
      <c r="A97" t="str">
        <f>'Student Enrollment Data'!A99</f>
        <v>382</v>
      </c>
      <c r="B97">
        <f>'Student Enrollment Data'!B99</f>
        <v>382</v>
      </c>
      <c r="C97" t="str">
        <f>'Student Enrollment Data'!C99</f>
        <v>Rockland School District # 382</v>
      </c>
      <c r="D97">
        <v>0</v>
      </c>
      <c r="E97" s="37">
        <f>IF(settings!$G$4=0,'Student Enrollment Data'!BA99,'Student Enrollment Data'!CN99)</f>
        <v>80</v>
      </c>
      <c r="F97" s="37">
        <f>IF(settings!$G$4=0,'Student Enrollment Data'!BB99,'Student Enrollment Data'!CO99)</f>
        <v>100</v>
      </c>
      <c r="G97" s="42">
        <f t="shared" si="1"/>
        <v>180</v>
      </c>
      <c r="H97">
        <f>IF(G97&lt;20000,0,IF(G97&gt;19999,settings!$Q$3,('Large District Weight'!G97*settings!$P$6)+settings!P102))</f>
        <v>0</v>
      </c>
    </row>
    <row r="98" spans="1:8">
      <c r="A98" t="str">
        <f>'Student Enrollment Data'!A100</f>
        <v>383</v>
      </c>
      <c r="B98">
        <f>'Student Enrollment Data'!B100</f>
        <v>383</v>
      </c>
      <c r="C98" t="str">
        <f>'Student Enrollment Data'!C100</f>
        <v>Arbon Elementary School District # 383</v>
      </c>
      <c r="D98">
        <v>0</v>
      </c>
      <c r="E98" s="37">
        <f>IF(settings!$G$4=0,'Student Enrollment Data'!BA100,'Student Enrollment Data'!CN100)</f>
        <v>15.5</v>
      </c>
      <c r="F98" s="37">
        <f>IF(settings!$G$4=0,'Student Enrollment Data'!BB100,'Student Enrollment Data'!CO100)</f>
        <v>0</v>
      </c>
      <c r="G98" s="42">
        <f t="shared" si="1"/>
        <v>15.5</v>
      </c>
      <c r="H98">
        <f>IF(G98&lt;20000,0,IF(G98&gt;19999,settings!$Q$3,('Large District Weight'!G98*settings!$P$6)+settings!P103))</f>
        <v>0</v>
      </c>
    </row>
    <row r="99" spans="1:8">
      <c r="A99" t="str">
        <f>'Student Enrollment Data'!A101</f>
        <v>391</v>
      </c>
      <c r="B99">
        <f>'Student Enrollment Data'!B101</f>
        <v>391</v>
      </c>
      <c r="C99" t="str">
        <f>'Student Enrollment Data'!C101</f>
        <v>Kellogg Joint School District # 391</v>
      </c>
      <c r="D99">
        <v>0</v>
      </c>
      <c r="E99" s="37">
        <f>IF(settings!$G$4=0,'Student Enrollment Data'!BA101,'Student Enrollment Data'!CN101)</f>
        <v>558</v>
      </c>
      <c r="F99" s="37">
        <f>IF(settings!$G$4=0,'Student Enrollment Data'!BB101,'Student Enrollment Data'!CO101)</f>
        <v>490</v>
      </c>
      <c r="G99" s="42">
        <f t="shared" si="1"/>
        <v>1048</v>
      </c>
      <c r="H99">
        <f>IF(G99&lt;20000,0,IF(G99&gt;19999,settings!$Q$3,('Large District Weight'!G99*settings!$P$6)+settings!P104))</f>
        <v>0</v>
      </c>
    </row>
    <row r="100" spans="1:8">
      <c r="A100" t="str">
        <f>'Student Enrollment Data'!A102</f>
        <v>392</v>
      </c>
      <c r="B100">
        <f>'Student Enrollment Data'!B102</f>
        <v>392</v>
      </c>
      <c r="C100" t="str">
        <f>'Student Enrollment Data'!C102</f>
        <v>Mullan School District # 392</v>
      </c>
      <c r="D100">
        <v>0</v>
      </c>
      <c r="E100" s="37">
        <f>IF(settings!$G$4=0,'Student Enrollment Data'!BA102,'Student Enrollment Data'!CN102)</f>
        <v>46</v>
      </c>
      <c r="F100" s="37">
        <f>IF(settings!$G$4=0,'Student Enrollment Data'!BB102,'Student Enrollment Data'!CO102)</f>
        <v>100</v>
      </c>
      <c r="G100" s="42">
        <f t="shared" si="1"/>
        <v>146</v>
      </c>
      <c r="H100">
        <f>IF(G100&lt;20000,0,IF(G100&gt;19999,settings!$Q$3,('Large District Weight'!G100*settings!$P$6)+settings!P105))</f>
        <v>0</v>
      </c>
    </row>
    <row r="101" spans="1:8">
      <c r="A101" t="str">
        <f>'Student Enrollment Data'!A103</f>
        <v>393</v>
      </c>
      <c r="B101">
        <f>'Student Enrollment Data'!B103</f>
        <v>393</v>
      </c>
      <c r="C101" t="str">
        <f>'Student Enrollment Data'!C103</f>
        <v>Wallace School District # 393</v>
      </c>
      <c r="D101">
        <v>0</v>
      </c>
      <c r="E101" s="37">
        <f>IF(settings!$G$4=0,'Student Enrollment Data'!BA103,'Student Enrollment Data'!CN103)</f>
        <v>239.5</v>
      </c>
      <c r="F101" s="37">
        <f>IF(settings!$G$4=0,'Student Enrollment Data'!BB103,'Student Enrollment Data'!CO103)</f>
        <v>220</v>
      </c>
      <c r="G101" s="42">
        <f t="shared" si="1"/>
        <v>459.5</v>
      </c>
      <c r="H101">
        <f>IF(G101&lt;20000,0,IF(G101&gt;19999,settings!$Q$3,('Large District Weight'!G101*settings!$P$6)+settings!P106))</f>
        <v>0</v>
      </c>
    </row>
    <row r="102" spans="1:8">
      <c r="A102" t="str">
        <f>'Student Enrollment Data'!A104</f>
        <v>394</v>
      </c>
      <c r="B102">
        <f>'Student Enrollment Data'!B104</f>
        <v>394</v>
      </c>
      <c r="C102" t="str">
        <f>'Student Enrollment Data'!C104</f>
        <v>Avery School District # 394</v>
      </c>
      <c r="D102">
        <v>0</v>
      </c>
      <c r="E102" s="37">
        <f>IF(settings!$G$4=0,'Student Enrollment Data'!BA104,'Student Enrollment Data'!CN104)</f>
        <v>15</v>
      </c>
      <c r="F102" s="37">
        <f>IF(settings!$G$4=0,'Student Enrollment Data'!BB104,'Student Enrollment Data'!CO104)</f>
        <v>2</v>
      </c>
      <c r="G102" s="42">
        <f t="shared" si="1"/>
        <v>17</v>
      </c>
      <c r="H102">
        <f>IF(G102&lt;20000,0,IF(G102&gt;19999,settings!$Q$3,('Large District Weight'!G102*settings!$P$6)+settings!P107))</f>
        <v>0</v>
      </c>
    </row>
    <row r="103" spans="1:8">
      <c r="A103" t="str">
        <f>'Student Enrollment Data'!A105</f>
        <v>401</v>
      </c>
      <c r="B103">
        <f>'Student Enrollment Data'!B105</f>
        <v>401</v>
      </c>
      <c r="C103" t="str">
        <f>'Student Enrollment Data'!C105</f>
        <v>Teton County School District # 401</v>
      </c>
      <c r="D103">
        <v>0</v>
      </c>
      <c r="E103" s="37">
        <f>IF(settings!$G$4=0,'Student Enrollment Data'!BA105,'Student Enrollment Data'!CN105)</f>
        <v>939</v>
      </c>
      <c r="F103" s="37">
        <f>IF(settings!$G$4=0,'Student Enrollment Data'!BB105,'Student Enrollment Data'!CO105)</f>
        <v>808</v>
      </c>
      <c r="G103" s="42">
        <f t="shared" si="1"/>
        <v>1747</v>
      </c>
      <c r="H103">
        <f>IF(G103&lt;20000,0,IF(G103&gt;19999,settings!$Q$3,('Large District Weight'!G103*settings!$P$6)+settings!P108))</f>
        <v>0</v>
      </c>
    </row>
    <row r="104" spans="1:8">
      <c r="A104" t="str">
        <f>'Student Enrollment Data'!A106</f>
        <v>411</v>
      </c>
      <c r="B104">
        <f>'Student Enrollment Data'!B106</f>
        <v>411</v>
      </c>
      <c r="C104" t="str">
        <f>'Student Enrollment Data'!C106</f>
        <v>Twin Falls School District # 411</v>
      </c>
      <c r="D104">
        <v>0</v>
      </c>
      <c r="E104" s="37">
        <f>IF(settings!$G$4=0,'Student Enrollment Data'!BA106,'Student Enrollment Data'!CN106)</f>
        <v>5016</v>
      </c>
      <c r="F104" s="37">
        <f>IF(settings!$G$4=0,'Student Enrollment Data'!BB106,'Student Enrollment Data'!CO106)</f>
        <v>4007</v>
      </c>
      <c r="G104" s="42">
        <f t="shared" si="1"/>
        <v>9023</v>
      </c>
      <c r="H104">
        <f>IF(G104&lt;20000,0,IF(G104&gt;19999,settings!$Q$3,('Large District Weight'!G104*settings!$P$6)+settings!P109))</f>
        <v>0</v>
      </c>
    </row>
    <row r="105" spans="1:8">
      <c r="A105" t="str">
        <f>'Student Enrollment Data'!A107</f>
        <v>412</v>
      </c>
      <c r="B105">
        <f>'Student Enrollment Data'!B107</f>
        <v>412</v>
      </c>
      <c r="C105" t="str">
        <f>'Student Enrollment Data'!C107</f>
        <v>Buhl Joint School District # 412</v>
      </c>
      <c r="D105">
        <v>0</v>
      </c>
      <c r="E105" s="37">
        <f>IF(settings!$G$4=0,'Student Enrollment Data'!BA107,'Student Enrollment Data'!CN107)</f>
        <v>653.5</v>
      </c>
      <c r="F105" s="37">
        <f>IF(settings!$G$4=0,'Student Enrollment Data'!BB107,'Student Enrollment Data'!CO107)</f>
        <v>554</v>
      </c>
      <c r="G105" s="42">
        <f t="shared" si="1"/>
        <v>1207.5</v>
      </c>
      <c r="H105">
        <f>IF(G105&lt;20000,0,IF(G105&gt;19999,settings!$Q$3,('Large District Weight'!G105*settings!$P$6)+settings!P110))</f>
        <v>0</v>
      </c>
    </row>
    <row r="106" spans="1:8">
      <c r="A106" t="str">
        <f>'Student Enrollment Data'!A108</f>
        <v>413</v>
      </c>
      <c r="B106">
        <f>'Student Enrollment Data'!B108</f>
        <v>413</v>
      </c>
      <c r="C106" t="str">
        <f>'Student Enrollment Data'!C108</f>
        <v>Filer School District # 413</v>
      </c>
      <c r="D106">
        <v>0</v>
      </c>
      <c r="E106" s="37">
        <f>IF(settings!$G$4=0,'Student Enrollment Data'!BA108,'Student Enrollment Data'!CN108)</f>
        <v>806.5</v>
      </c>
      <c r="F106" s="37">
        <f>IF(settings!$G$4=0,'Student Enrollment Data'!BB108,'Student Enrollment Data'!CO108)</f>
        <v>789</v>
      </c>
      <c r="G106" s="42">
        <f t="shared" si="1"/>
        <v>1595.5</v>
      </c>
      <c r="H106">
        <f>IF(G106&lt;20000,0,IF(G106&gt;19999,settings!$Q$3,('Large District Weight'!G106*settings!$P$6)+settings!P111))</f>
        <v>0</v>
      </c>
    </row>
    <row r="107" spans="1:8">
      <c r="A107" t="str">
        <f>'Student Enrollment Data'!A109</f>
        <v>414</v>
      </c>
      <c r="B107">
        <f>'Student Enrollment Data'!B109</f>
        <v>414</v>
      </c>
      <c r="C107" t="str">
        <f>'Student Enrollment Data'!C109</f>
        <v>Kimberly School District # 414</v>
      </c>
      <c r="D107">
        <v>0</v>
      </c>
      <c r="E107" s="37">
        <f>IF(settings!$G$4=0,'Student Enrollment Data'!BA109,'Student Enrollment Data'!CN109)</f>
        <v>1048</v>
      </c>
      <c r="F107" s="37">
        <f>IF(settings!$G$4=0,'Student Enrollment Data'!BB109,'Student Enrollment Data'!CO109)</f>
        <v>848</v>
      </c>
      <c r="G107" s="42">
        <f t="shared" si="1"/>
        <v>1896</v>
      </c>
      <c r="H107">
        <f>IF(G107&lt;20000,0,IF(G107&gt;19999,settings!$Q$3,('Large District Weight'!G107*settings!$P$6)+settings!P112))</f>
        <v>0</v>
      </c>
    </row>
    <row r="108" spans="1:8">
      <c r="A108" t="str">
        <f>'Student Enrollment Data'!A110</f>
        <v>415</v>
      </c>
      <c r="B108">
        <f>'Student Enrollment Data'!B110</f>
        <v>415</v>
      </c>
      <c r="C108" t="str">
        <f>'Student Enrollment Data'!C110</f>
        <v>Hansen School District # 415</v>
      </c>
      <c r="D108">
        <v>0</v>
      </c>
      <c r="E108" s="37">
        <f>IF(settings!$G$4=0,'Student Enrollment Data'!BA110,'Student Enrollment Data'!CN110)</f>
        <v>152.5</v>
      </c>
      <c r="F108" s="37">
        <f>IF(settings!$G$4=0,'Student Enrollment Data'!BB110,'Student Enrollment Data'!CO110)</f>
        <v>134</v>
      </c>
      <c r="G108" s="42">
        <f t="shared" si="1"/>
        <v>286.5</v>
      </c>
      <c r="H108">
        <f>IF(G108&lt;20000,0,IF(G108&gt;19999,settings!$Q$3,('Large District Weight'!G108*settings!$P$6)+settings!P113))</f>
        <v>0</v>
      </c>
    </row>
    <row r="109" spans="1:8">
      <c r="A109" t="str">
        <f>'Student Enrollment Data'!A111</f>
        <v>416</v>
      </c>
      <c r="B109">
        <f>'Student Enrollment Data'!B111</f>
        <v>416</v>
      </c>
      <c r="C109" t="str">
        <f>'Student Enrollment Data'!C111</f>
        <v>Three Creek Joint Elem. School District # 416</v>
      </c>
      <c r="D109">
        <v>0</v>
      </c>
      <c r="E109" s="37">
        <f>IF(settings!$G$4=0,'Student Enrollment Data'!BA111,'Student Enrollment Data'!CN111)</f>
        <v>3.5</v>
      </c>
      <c r="F109" s="37">
        <f>IF(settings!$G$4=0,'Student Enrollment Data'!BB111,'Student Enrollment Data'!CO111)</f>
        <v>2</v>
      </c>
      <c r="G109" s="42">
        <f t="shared" si="1"/>
        <v>5.5</v>
      </c>
      <c r="H109">
        <f>IF(G109&lt;20000,0,IF(G109&gt;19999,settings!$Q$3,('Large District Weight'!G109*settings!$P$6)+settings!P114))</f>
        <v>0</v>
      </c>
    </row>
    <row r="110" spans="1:8">
      <c r="A110" t="str">
        <f>'Student Enrollment Data'!A112</f>
        <v>417</v>
      </c>
      <c r="B110">
        <f>'Student Enrollment Data'!B112</f>
        <v>417</v>
      </c>
      <c r="C110" t="str">
        <f>'Student Enrollment Data'!C112</f>
        <v>Castleford Joint School District # 417</v>
      </c>
      <c r="D110">
        <v>0</v>
      </c>
      <c r="E110" s="37">
        <f>IF(settings!$G$4=0,'Student Enrollment Data'!BA112,'Student Enrollment Data'!CN112)</f>
        <v>176</v>
      </c>
      <c r="F110" s="37">
        <f>IF(settings!$G$4=0,'Student Enrollment Data'!BB112,'Student Enrollment Data'!CO112)</f>
        <v>162</v>
      </c>
      <c r="G110" s="42">
        <f t="shared" si="1"/>
        <v>338</v>
      </c>
      <c r="H110">
        <f>IF(G110&lt;20000,0,IF(G110&gt;19999,settings!$Q$3,('Large District Weight'!G110*settings!$P$6)+settings!P115))</f>
        <v>0</v>
      </c>
    </row>
    <row r="111" spans="1:8">
      <c r="A111" t="str">
        <f>'Student Enrollment Data'!A113</f>
        <v>418</v>
      </c>
      <c r="B111">
        <f>'Student Enrollment Data'!B113</f>
        <v>418</v>
      </c>
      <c r="C111" t="str">
        <f>'Student Enrollment Data'!C113</f>
        <v>Murtaugh Joint School District # 418</v>
      </c>
      <c r="D111">
        <v>0</v>
      </c>
      <c r="E111" s="37">
        <f>IF(settings!$G$4=0,'Student Enrollment Data'!BA113,'Student Enrollment Data'!CN113)</f>
        <v>213</v>
      </c>
      <c r="F111" s="37">
        <f>IF(settings!$G$4=0,'Student Enrollment Data'!BB113,'Student Enrollment Data'!CO113)</f>
        <v>130</v>
      </c>
      <c r="G111" s="42">
        <f t="shared" si="1"/>
        <v>343</v>
      </c>
      <c r="H111">
        <f>IF(G111&lt;20000,0,IF(G111&gt;19999,settings!$Q$3,('Large District Weight'!G111*settings!$P$6)+settings!P116))</f>
        <v>0</v>
      </c>
    </row>
    <row r="112" spans="1:8">
      <c r="A112" t="str">
        <f>'Student Enrollment Data'!A114</f>
        <v>421</v>
      </c>
      <c r="B112">
        <f>'Student Enrollment Data'!B114</f>
        <v>421</v>
      </c>
      <c r="C112" t="str">
        <f>'Student Enrollment Data'!C114</f>
        <v>McCall-Donnelly Joint School District # 421</v>
      </c>
      <c r="D112">
        <v>0</v>
      </c>
      <c r="E112" s="37">
        <f>IF(settings!$G$4=0,'Student Enrollment Data'!BA114,'Student Enrollment Data'!CN114)</f>
        <v>653</v>
      </c>
      <c r="F112" s="37">
        <f>IF(settings!$G$4=0,'Student Enrollment Data'!BB114,'Student Enrollment Data'!CO114)</f>
        <v>576</v>
      </c>
      <c r="G112" s="42">
        <f t="shared" si="1"/>
        <v>1229</v>
      </c>
      <c r="H112">
        <f>IF(G112&lt;20000,0,IF(G112&gt;19999,settings!$Q$3,('Large District Weight'!G112*settings!$P$6)+settings!P117))</f>
        <v>0</v>
      </c>
    </row>
    <row r="113" spans="1:8">
      <c r="A113" t="str">
        <f>'Student Enrollment Data'!A115</f>
        <v>422</v>
      </c>
      <c r="B113">
        <f>'Student Enrollment Data'!B115</f>
        <v>422</v>
      </c>
      <c r="C113" t="str">
        <f>'Student Enrollment Data'!C115</f>
        <v>Cascade School District # 422</v>
      </c>
      <c r="D113">
        <v>0</v>
      </c>
      <c r="E113" s="37">
        <f>IF(settings!$G$4=0,'Student Enrollment Data'!BA115,'Student Enrollment Data'!CN115)</f>
        <v>96</v>
      </c>
      <c r="F113" s="37">
        <f>IF(settings!$G$4=0,'Student Enrollment Data'!BB115,'Student Enrollment Data'!CO115)</f>
        <v>113</v>
      </c>
      <c r="G113" s="42">
        <f t="shared" si="1"/>
        <v>209</v>
      </c>
      <c r="H113">
        <f>IF(G113&lt;20000,0,IF(G113&gt;19999,settings!$Q$3,('Large District Weight'!G113*settings!$P$6)+settings!P118))</f>
        <v>0</v>
      </c>
    </row>
    <row r="114" spans="1:8">
      <c r="A114" t="str">
        <f>'Student Enrollment Data'!A116</f>
        <v>431</v>
      </c>
      <c r="B114">
        <f>'Student Enrollment Data'!B116</f>
        <v>431</v>
      </c>
      <c r="C114" t="str">
        <f>'Student Enrollment Data'!C116</f>
        <v>Weiser School District # 431</v>
      </c>
      <c r="D114">
        <v>0</v>
      </c>
      <c r="E114" s="37">
        <f>IF(settings!$G$4=0,'Student Enrollment Data'!BA116,'Student Enrollment Data'!CN116)</f>
        <v>720</v>
      </c>
      <c r="F114" s="37">
        <f>IF(settings!$G$4=0,'Student Enrollment Data'!BB116,'Student Enrollment Data'!CO116)</f>
        <v>791</v>
      </c>
      <c r="G114" s="42">
        <f t="shared" si="1"/>
        <v>1511</v>
      </c>
      <c r="H114">
        <f>IF(G114&lt;20000,0,IF(G114&gt;19999,settings!$Q$3,('Large District Weight'!G114*settings!$P$6)+settings!P119))</f>
        <v>0</v>
      </c>
    </row>
    <row r="115" spans="1:8">
      <c r="A115" t="str">
        <f>'Student Enrollment Data'!A117</f>
        <v>432</v>
      </c>
      <c r="B115">
        <f>'Student Enrollment Data'!B117</f>
        <v>432</v>
      </c>
      <c r="C115" t="str">
        <f>'Student Enrollment Data'!C117</f>
        <v>Cambridge Joint School District # 432</v>
      </c>
      <c r="D115">
        <v>0</v>
      </c>
      <c r="E115" s="37">
        <f>IF(settings!$G$4=0,'Student Enrollment Data'!BA117,'Student Enrollment Data'!CN117)</f>
        <v>63</v>
      </c>
      <c r="F115" s="37">
        <f>IF(settings!$G$4=0,'Student Enrollment Data'!BB117,'Student Enrollment Data'!CO117)</f>
        <v>100</v>
      </c>
      <c r="G115" s="42">
        <f t="shared" si="1"/>
        <v>163</v>
      </c>
      <c r="H115">
        <f>IF(G115&lt;20000,0,IF(G115&gt;19999,settings!$Q$3,('Large District Weight'!G115*settings!$P$6)+settings!P120))</f>
        <v>0</v>
      </c>
    </row>
    <row r="116" spans="1:8">
      <c r="A116" t="str">
        <f>'Student Enrollment Data'!A118</f>
        <v>433</v>
      </c>
      <c r="B116">
        <f>'Student Enrollment Data'!B118</f>
        <v>433</v>
      </c>
      <c r="C116" t="str">
        <f>'Student Enrollment Data'!C118</f>
        <v>Midvale School District # 433</v>
      </c>
      <c r="D116">
        <v>0</v>
      </c>
      <c r="E116" s="37">
        <f>IF(settings!$G$4=0,'Student Enrollment Data'!BA118,'Student Enrollment Data'!CN118)</f>
        <v>53</v>
      </c>
      <c r="F116" s="37">
        <f>IF(settings!$G$4=0,'Student Enrollment Data'!BB118,'Student Enrollment Data'!CO118)</f>
        <v>100</v>
      </c>
      <c r="G116" s="42">
        <f t="shared" si="1"/>
        <v>153</v>
      </c>
      <c r="H116">
        <f>IF(G116&lt;20000,0,IF(G116&gt;19999,settings!$Q$3,('Large District Weight'!G116*settings!$P$6)+settings!P121))</f>
        <v>0</v>
      </c>
    </row>
    <row r="117" spans="1:8">
      <c r="A117" t="str">
        <f>'Student Enrollment Data'!A119</f>
        <v>451</v>
      </c>
      <c r="B117">
        <f>'Student Enrollment Data'!B119</f>
        <v>451</v>
      </c>
      <c r="C117" t="str">
        <f>'Student Enrollment Data'!C119</f>
        <v>Victory Charter School # 451</v>
      </c>
      <c r="D117">
        <v>1</v>
      </c>
      <c r="E117" s="37">
        <f>IF(settings!$G$4=0,'Student Enrollment Data'!BA119,'Student Enrollment Data'!CN119)</f>
        <v>192</v>
      </c>
      <c r="F117" s="37">
        <f>IF(settings!$G$4=0,'Student Enrollment Data'!BB119,'Student Enrollment Data'!CO119)</f>
        <v>202</v>
      </c>
      <c r="G117" s="42">
        <f t="shared" si="1"/>
        <v>394</v>
      </c>
      <c r="H117">
        <f>IF(G117&lt;20000,0,IF(G117&gt;19999,settings!$Q$3,('Large District Weight'!G117*settings!$P$6)+settings!P122))</f>
        <v>0</v>
      </c>
    </row>
    <row r="118" spans="1:8">
      <c r="A118" t="str">
        <f>'Student Enrollment Data'!A120</f>
        <v>452</v>
      </c>
      <c r="B118">
        <f>'Student Enrollment Data'!B120</f>
        <v>452</v>
      </c>
      <c r="C118" t="str">
        <f>'Student Enrollment Data'!C120</f>
        <v>Idaho Virtual Academy # 452</v>
      </c>
      <c r="D118">
        <v>1</v>
      </c>
      <c r="E118" s="37">
        <f>IF(settings!$G$4=0,'Student Enrollment Data'!BA120,'Student Enrollment Data'!CN120)</f>
        <v>609.5</v>
      </c>
      <c r="F118" s="37">
        <f>IF(settings!$G$4=0,'Student Enrollment Data'!BB120,'Student Enrollment Data'!CO120)</f>
        <v>1142</v>
      </c>
      <c r="G118" s="42">
        <f t="shared" si="1"/>
        <v>1751.5</v>
      </c>
      <c r="H118">
        <f>IF(G118&lt;20000,0,IF(G118&gt;19999,settings!$Q$3,('Large District Weight'!G118*settings!$P$6)+settings!P123))</f>
        <v>0</v>
      </c>
    </row>
    <row r="119" spans="1:8">
      <c r="A119" t="str">
        <f>'Student Enrollment Data'!A121</f>
        <v>453</v>
      </c>
      <c r="B119">
        <f>'Student Enrollment Data'!B121</f>
        <v>453</v>
      </c>
      <c r="C119" t="str">
        <f>'Student Enrollment Data'!C121</f>
        <v>McKenna Charter School # 453</v>
      </c>
      <c r="D119">
        <v>1</v>
      </c>
      <c r="E119" s="37">
        <f>IF(settings!$G$4=0,'Student Enrollment Data'!BA121,'Student Enrollment Data'!CN121)</f>
        <v>83.5</v>
      </c>
      <c r="F119" s="37">
        <f>IF(settings!$G$4=0,'Student Enrollment Data'!BB121,'Student Enrollment Data'!CO121)</f>
        <v>363</v>
      </c>
      <c r="G119" s="42">
        <f t="shared" si="1"/>
        <v>446.5</v>
      </c>
      <c r="H119">
        <f>IF(G119&lt;20000,0,IF(G119&gt;19999,settings!$Q$3,('Large District Weight'!G119*settings!$P$6)+settings!P124))</f>
        <v>0</v>
      </c>
    </row>
    <row r="120" spans="1:8">
      <c r="A120" t="str">
        <f>'Student Enrollment Data'!A122</f>
        <v>454</v>
      </c>
      <c r="B120">
        <f>'Student Enrollment Data'!B122</f>
        <v>454</v>
      </c>
      <c r="C120" t="str">
        <f>'Student Enrollment Data'!C122</f>
        <v>Rolling Hills Charter School # 454</v>
      </c>
      <c r="D120">
        <v>1</v>
      </c>
      <c r="E120" s="37">
        <f>IF(settings!$G$4=0,'Student Enrollment Data'!BA122,'Student Enrollment Data'!CN122)</f>
        <v>182.5</v>
      </c>
      <c r="F120" s="37">
        <f>IF(settings!$G$4=0,'Student Enrollment Data'!BB122,'Student Enrollment Data'!CO122)</f>
        <v>52</v>
      </c>
      <c r="G120" s="42">
        <f t="shared" si="1"/>
        <v>234.5</v>
      </c>
      <c r="H120">
        <f>IF(G120&lt;20000,0,IF(G120&gt;19999,settings!$Q$3,('Large District Weight'!G120*settings!$P$6)+settings!P125))</f>
        <v>0</v>
      </c>
    </row>
    <row r="121" spans="1:8">
      <c r="A121" t="str">
        <f>'Student Enrollment Data'!A123</f>
        <v>455</v>
      </c>
      <c r="B121">
        <f>'Student Enrollment Data'!B123</f>
        <v>455</v>
      </c>
      <c r="C121" t="str">
        <f>'Student Enrollment Data'!C123</f>
        <v>Compass Public Charter School # 455</v>
      </c>
      <c r="D121">
        <v>1</v>
      </c>
      <c r="E121" s="37">
        <f>IF(settings!$G$4=0,'Student Enrollment Data'!BA123,'Student Enrollment Data'!CN123)</f>
        <v>632.5</v>
      </c>
      <c r="F121" s="37">
        <f>IF(settings!$G$4=0,'Student Enrollment Data'!BB123,'Student Enrollment Data'!CO123)</f>
        <v>401</v>
      </c>
      <c r="G121" s="42">
        <f t="shared" si="1"/>
        <v>1033.5</v>
      </c>
      <c r="H121">
        <f>IF(G121&lt;20000,0,IF(G121&gt;19999,settings!$Q$3,('Large District Weight'!G121*settings!$P$6)+settings!P126))</f>
        <v>0</v>
      </c>
    </row>
    <row r="122" spans="1:8">
      <c r="A122" t="str">
        <f>'Student Enrollment Data'!A124</f>
        <v>456</v>
      </c>
      <c r="B122">
        <f>'Student Enrollment Data'!B124</f>
        <v>456</v>
      </c>
      <c r="C122" t="str">
        <f>'Student Enrollment Data'!C124</f>
        <v>Falcon Ridge Public Charter School # 456</v>
      </c>
      <c r="D122">
        <v>1</v>
      </c>
      <c r="E122" s="37">
        <f>IF(settings!$G$4=0,'Student Enrollment Data'!BA124,'Student Enrollment Data'!CN124)</f>
        <v>198</v>
      </c>
      <c r="F122" s="37">
        <f>IF(settings!$G$4=0,'Student Enrollment Data'!BB124,'Student Enrollment Data'!CO124)</f>
        <v>63</v>
      </c>
      <c r="G122" s="42">
        <f t="shared" si="1"/>
        <v>261</v>
      </c>
      <c r="H122">
        <f>IF(G122&lt;20000,0,IF(G122&gt;19999,settings!$Q$3,('Large District Weight'!G122*settings!$P$6)+settings!P127))</f>
        <v>0</v>
      </c>
    </row>
    <row r="123" spans="1:8">
      <c r="A123" t="str">
        <f>'Student Enrollment Data'!A125</f>
        <v>457</v>
      </c>
      <c r="B123">
        <f>'Student Enrollment Data'!B125</f>
        <v>457</v>
      </c>
      <c r="C123" t="str">
        <f>'Student Enrollment Data'!C125</f>
        <v>INSPIRE Connections Academy # 457</v>
      </c>
      <c r="D123">
        <v>1</v>
      </c>
      <c r="E123" s="37">
        <f>IF(settings!$G$4=0,'Student Enrollment Data'!BA125,'Student Enrollment Data'!CN125)</f>
        <v>268.5</v>
      </c>
      <c r="F123" s="37">
        <f>IF(settings!$G$4=0,'Student Enrollment Data'!BB125,'Student Enrollment Data'!CO125)</f>
        <v>695</v>
      </c>
      <c r="G123" s="42">
        <f t="shared" si="1"/>
        <v>963.5</v>
      </c>
      <c r="H123">
        <f>IF(G123&lt;20000,0,IF(G123&gt;19999,settings!$Q$3,('Large District Weight'!G123*settings!$P$6)+settings!P128))</f>
        <v>0</v>
      </c>
    </row>
    <row r="124" spans="1:8">
      <c r="A124" t="str">
        <f>'Student Enrollment Data'!A126</f>
        <v>458</v>
      </c>
      <c r="B124">
        <f>'Student Enrollment Data'!B126</f>
        <v>458</v>
      </c>
      <c r="C124" t="str">
        <f>'Student Enrollment Data'!C126</f>
        <v>Liberty Charter School # 458</v>
      </c>
      <c r="D124">
        <v>1</v>
      </c>
      <c r="E124" s="37">
        <f>IF(settings!$G$4=0,'Student Enrollment Data'!BA126,'Student Enrollment Data'!CN126)</f>
        <v>192</v>
      </c>
      <c r="F124" s="37">
        <f>IF(settings!$G$4=0,'Student Enrollment Data'!BB126,'Student Enrollment Data'!CO126)</f>
        <v>209</v>
      </c>
      <c r="G124" s="42">
        <f t="shared" si="1"/>
        <v>401</v>
      </c>
      <c r="H124">
        <f>IF(G124&lt;20000,0,IF(G124&gt;19999,settings!$Q$3,('Large District Weight'!G124*settings!$P$6)+settings!P129))</f>
        <v>0</v>
      </c>
    </row>
    <row r="125" spans="1:8">
      <c r="A125" t="str">
        <f>'Student Enrollment Data'!A127</f>
        <v>460</v>
      </c>
      <c r="B125">
        <f>'Student Enrollment Data'!B127</f>
        <v>460</v>
      </c>
      <c r="C125" t="str">
        <f>'Student Enrollment Data'!C127</f>
        <v>Connor Academy # 460</v>
      </c>
      <c r="D125">
        <v>1</v>
      </c>
      <c r="E125" s="37">
        <f>IF(settings!$G$4=0,'Student Enrollment Data'!BA127,'Student Enrollment Data'!CN127)</f>
        <v>399</v>
      </c>
      <c r="F125" s="37">
        <f>IF(settings!$G$4=0,'Student Enrollment Data'!BB127,'Student Enrollment Data'!CO127)</f>
        <v>129</v>
      </c>
      <c r="G125" s="42">
        <f t="shared" si="1"/>
        <v>528</v>
      </c>
      <c r="H125">
        <f>IF(G125&lt;20000,0,IF(G125&gt;19999,settings!$Q$3,('Large District Weight'!G125*settings!$P$6)+settings!P130))</f>
        <v>0</v>
      </c>
    </row>
    <row r="126" spans="1:8">
      <c r="A126" t="str">
        <f>'Student Enrollment Data'!A128</f>
        <v>461</v>
      </c>
      <c r="B126">
        <f>'Student Enrollment Data'!B128</f>
        <v>461</v>
      </c>
      <c r="C126" t="str">
        <f>'Student Enrollment Data'!C128</f>
        <v>Taylor's Crossing Public Charter School # 461</v>
      </c>
      <c r="D126">
        <v>1</v>
      </c>
      <c r="E126" s="37">
        <f>IF(settings!$G$4=0,'Student Enrollment Data'!BA128,'Student Enrollment Data'!CN128)</f>
        <v>207</v>
      </c>
      <c r="F126" s="37">
        <f>IF(settings!$G$4=0,'Student Enrollment Data'!BB128,'Student Enrollment Data'!CO128)</f>
        <v>145</v>
      </c>
      <c r="G126" s="42">
        <f t="shared" si="1"/>
        <v>352</v>
      </c>
      <c r="H126">
        <f>IF(G126&lt;20000,0,IF(G126&gt;19999,settings!$Q$3,('Large District Weight'!G126*settings!$P$6)+settings!P131))</f>
        <v>0</v>
      </c>
    </row>
    <row r="127" spans="1:8">
      <c r="A127" t="str">
        <f>'Student Enrollment Data'!A129</f>
        <v>462</v>
      </c>
      <c r="B127">
        <f>'Student Enrollment Data'!B129</f>
        <v>462</v>
      </c>
      <c r="C127" t="str">
        <f>'Student Enrollment Data'!C129</f>
        <v>Xavier Charter School # 462</v>
      </c>
      <c r="D127">
        <v>1</v>
      </c>
      <c r="E127" s="37">
        <f>IF(settings!$G$4=0,'Student Enrollment Data'!BA129,'Student Enrollment Data'!CN129)</f>
        <v>389</v>
      </c>
      <c r="F127" s="37">
        <f>IF(settings!$G$4=0,'Student Enrollment Data'!BB129,'Student Enrollment Data'!CO129)</f>
        <v>288</v>
      </c>
      <c r="G127" s="42">
        <f t="shared" si="1"/>
        <v>677</v>
      </c>
      <c r="H127">
        <f>IF(G127&lt;20000,0,IF(G127&gt;19999,settings!$Q$3,('Large District Weight'!G127*settings!$P$6)+settings!P132))</f>
        <v>0</v>
      </c>
    </row>
    <row r="128" spans="1:8">
      <c r="A128" t="str">
        <f>'Student Enrollment Data'!A130</f>
        <v>463</v>
      </c>
      <c r="B128">
        <f>'Student Enrollment Data'!B130</f>
        <v>463</v>
      </c>
      <c r="C128" t="str">
        <f>'Student Enrollment Data'!C130</f>
        <v>Vision Charter School # 463</v>
      </c>
      <c r="D128">
        <v>1</v>
      </c>
      <c r="E128" s="37">
        <f>IF(settings!$G$4=0,'Student Enrollment Data'!BA130,'Student Enrollment Data'!CN130)</f>
        <v>394</v>
      </c>
      <c r="F128" s="37">
        <f>IF(settings!$G$4=0,'Student Enrollment Data'!BB130,'Student Enrollment Data'!CO130)</f>
        <v>302</v>
      </c>
      <c r="G128" s="42">
        <f t="shared" si="1"/>
        <v>696</v>
      </c>
      <c r="H128">
        <f>IF(G128&lt;20000,0,IF(G128&gt;19999,settings!$Q$3,('Large District Weight'!G128*settings!$P$6)+settings!P133))</f>
        <v>0</v>
      </c>
    </row>
    <row r="129" spans="1:8">
      <c r="A129" t="str">
        <f>'Student Enrollment Data'!A131</f>
        <v>464</v>
      </c>
      <c r="B129">
        <f>'Student Enrollment Data'!B131</f>
        <v>464</v>
      </c>
      <c r="C129" t="str">
        <f>'Student Enrollment Data'!C131</f>
        <v>White Pine Charter School # 464</v>
      </c>
      <c r="D129">
        <v>1</v>
      </c>
      <c r="E129" s="37">
        <f>IF(settings!$G$4=0,'Student Enrollment Data'!BA131,'Student Enrollment Data'!CN131)</f>
        <v>425</v>
      </c>
      <c r="F129" s="37">
        <f>IF(settings!$G$4=0,'Student Enrollment Data'!BB131,'Student Enrollment Data'!CO131)</f>
        <v>77</v>
      </c>
      <c r="G129" s="42">
        <f t="shared" si="1"/>
        <v>502</v>
      </c>
      <c r="H129">
        <f>IF(G129&lt;20000,0,IF(G129&gt;19999,settings!$Q$3,('Large District Weight'!G129*settings!$P$6)+settings!P134))</f>
        <v>0</v>
      </c>
    </row>
    <row r="130" spans="1:8">
      <c r="A130" t="str">
        <f>'Student Enrollment Data'!A132</f>
        <v>465</v>
      </c>
      <c r="B130">
        <f>'Student Enrollment Data'!B132</f>
        <v>465</v>
      </c>
      <c r="C130" t="str">
        <f>'Student Enrollment Data'!C132</f>
        <v>North Valley Academy # 465</v>
      </c>
      <c r="D130">
        <v>1</v>
      </c>
      <c r="E130" s="37">
        <f>IF(settings!$G$4=0,'Student Enrollment Data'!BA132,'Student Enrollment Data'!CN132)</f>
        <v>125.5</v>
      </c>
      <c r="F130" s="37">
        <f>IF(settings!$G$4=0,'Student Enrollment Data'!BB132,'Student Enrollment Data'!CO132)</f>
        <v>88</v>
      </c>
      <c r="G130" s="42">
        <f t="shared" si="1"/>
        <v>213.5</v>
      </c>
      <c r="H130">
        <f>IF(G130&lt;20000,0,IF(G130&gt;19999,settings!$Q$3,('Large District Weight'!G130*settings!$P$6)+settings!P135))</f>
        <v>0</v>
      </c>
    </row>
    <row r="131" spans="1:8">
      <c r="A131" t="str">
        <f>'Student Enrollment Data'!A133</f>
        <v>466</v>
      </c>
      <c r="B131">
        <f>'Student Enrollment Data'!B133</f>
        <v>466</v>
      </c>
      <c r="C131" t="str">
        <f>'Student Enrollment Data'!C133</f>
        <v>iSucceed Virtual High School # 466</v>
      </c>
      <c r="D131">
        <v>1</v>
      </c>
      <c r="E131" s="37">
        <f>IF(settings!$G$4=0,'Student Enrollment Data'!BA133,'Student Enrollment Data'!CN133)</f>
        <v>0</v>
      </c>
      <c r="F131" s="37">
        <f>IF(settings!$G$4=0,'Student Enrollment Data'!BB133,'Student Enrollment Data'!CO133)</f>
        <v>562</v>
      </c>
      <c r="G131" s="42">
        <f t="shared" ref="G131:G174" si="2">E131+F131</f>
        <v>562</v>
      </c>
      <c r="H131">
        <f>IF(G131&lt;20000,0,IF(G131&gt;19999,settings!$Q$3,('Large District Weight'!G131*settings!$P$6)+settings!P136))</f>
        <v>0</v>
      </c>
    </row>
    <row r="132" spans="1:8">
      <c r="A132" t="str">
        <f>'Student Enrollment Data'!A134</f>
        <v>468</v>
      </c>
      <c r="B132">
        <f>'Student Enrollment Data'!B134</f>
        <v>468</v>
      </c>
      <c r="C132" t="str">
        <f>'Student Enrollment Data'!C134</f>
        <v>Idaho Science and Technology Charter School #468</v>
      </c>
      <c r="D132">
        <v>1</v>
      </c>
      <c r="E132" s="37">
        <f>IF(settings!$G$4=0,'Student Enrollment Data'!BA134,'Student Enrollment Data'!CN134)</f>
        <v>176</v>
      </c>
      <c r="F132" s="37">
        <f>IF(settings!$G$4=0,'Student Enrollment Data'!BB134,'Student Enrollment Data'!CO134)</f>
        <v>97</v>
      </c>
      <c r="G132" s="42">
        <f t="shared" si="2"/>
        <v>273</v>
      </c>
      <c r="H132">
        <f>IF(G132&lt;20000,0,IF(G132&gt;19999,settings!$Q$3,('Large District Weight'!G132*settings!$P$6)+settings!P137))</f>
        <v>0</v>
      </c>
    </row>
    <row r="133" spans="1:8">
      <c r="A133" t="str">
        <f>'Student Enrollment Data'!A135</f>
        <v>469</v>
      </c>
      <c r="B133">
        <f>'Student Enrollment Data'!B135</f>
        <v>469</v>
      </c>
      <c r="C133" t="str">
        <f>'Student Enrollment Data'!C135</f>
        <v>Idaho Connects Online (ICON) #469</v>
      </c>
      <c r="D133">
        <v>1</v>
      </c>
      <c r="E133" s="37">
        <f>IF(settings!$G$4=0,'Student Enrollment Data'!BA135,'Student Enrollment Data'!CN135)</f>
        <v>6</v>
      </c>
      <c r="F133" s="37">
        <f>IF(settings!$G$4=0,'Student Enrollment Data'!BB135,'Student Enrollment Data'!CO135)</f>
        <v>220</v>
      </c>
      <c r="G133" s="42">
        <f t="shared" si="2"/>
        <v>226</v>
      </c>
      <c r="H133">
        <f>IF(G133&lt;20000,0,IF(G133&gt;19999,settings!$Q$3,('Large District Weight'!G133*settings!$P$6)+settings!P138))</f>
        <v>0</v>
      </c>
    </row>
    <row r="134" spans="1:8">
      <c r="A134" t="str">
        <f>'Student Enrollment Data'!A136</f>
        <v>470</v>
      </c>
      <c r="B134">
        <f>'Student Enrollment Data'!B136</f>
        <v>470</v>
      </c>
      <c r="C134" t="str">
        <f>'Student Enrollment Data'!C136</f>
        <v>Kootenai Bridge Academy #470</v>
      </c>
      <c r="D134">
        <v>1</v>
      </c>
      <c r="E134" s="37">
        <f>IF(settings!$G$4=0,'Student Enrollment Data'!BA136,'Student Enrollment Data'!CN136)</f>
        <v>0</v>
      </c>
      <c r="F134" s="37">
        <f>IF(settings!$G$4=0,'Student Enrollment Data'!BB136,'Student Enrollment Data'!CO136)</f>
        <v>308</v>
      </c>
      <c r="G134" s="42">
        <f t="shared" si="2"/>
        <v>308</v>
      </c>
      <c r="H134">
        <f>IF(G134&lt;20000,0,IF(G134&gt;19999,settings!$Q$3,('Large District Weight'!G134*settings!$P$6)+settings!P139))</f>
        <v>0</v>
      </c>
    </row>
    <row r="135" spans="1:8">
      <c r="A135" t="str">
        <f>'Student Enrollment Data'!A137</f>
        <v>472</v>
      </c>
      <c r="B135">
        <f>'Student Enrollment Data'!B137</f>
        <v>472</v>
      </c>
      <c r="C135" t="str">
        <f>'Student Enrollment Data'!C137</f>
        <v>Palouse Prairie Charter School #472</v>
      </c>
      <c r="D135">
        <v>1</v>
      </c>
      <c r="E135" s="37">
        <f>IF(settings!$G$4=0,'Student Enrollment Data'!BA137,'Student Enrollment Data'!CN137)</f>
        <v>141</v>
      </c>
      <c r="F135" s="37">
        <f>IF(settings!$G$4=0,'Student Enrollment Data'!BB137,'Student Enrollment Data'!CO137)</f>
        <v>30</v>
      </c>
      <c r="G135" s="42">
        <f t="shared" si="2"/>
        <v>171</v>
      </c>
      <c r="H135">
        <f>IF(G135&lt;20000,0,IF(G135&gt;19999,settings!$Q$3,('Large District Weight'!G135*settings!$P$6)+settings!P140))</f>
        <v>0</v>
      </c>
    </row>
    <row r="136" spans="1:8">
      <c r="A136" t="str">
        <f>'Student Enrollment Data'!A138</f>
        <v>473</v>
      </c>
      <c r="B136">
        <f>'Student Enrollment Data'!B138</f>
        <v>473</v>
      </c>
      <c r="C136" t="str">
        <f>'Student Enrollment Data'!C138</f>
        <v>The Village Charter School #473</v>
      </c>
      <c r="D136">
        <v>1</v>
      </c>
      <c r="E136" s="37">
        <f>IF(settings!$G$4=0,'Student Enrollment Data'!BA138,'Student Enrollment Data'!CN138)</f>
        <v>356.5</v>
      </c>
      <c r="F136" s="37">
        <f>IF(settings!$G$4=0,'Student Enrollment Data'!BB138,'Student Enrollment Data'!CO138)</f>
        <v>104</v>
      </c>
      <c r="G136" s="42">
        <f t="shared" si="2"/>
        <v>460.5</v>
      </c>
      <c r="H136">
        <f>IF(G136&lt;20000,0,IF(G136&gt;19999,settings!$Q$3,('Large District Weight'!G136*settings!$P$6)+settings!P141))</f>
        <v>0</v>
      </c>
    </row>
    <row r="137" spans="1:8">
      <c r="A137" t="str">
        <f>'Student Enrollment Data'!A139</f>
        <v>474</v>
      </c>
      <c r="B137">
        <f>'Student Enrollment Data'!B139</f>
        <v>474</v>
      </c>
      <c r="C137" t="str">
        <f>'Student Enrollment Data'!C139</f>
        <v>Monticello Montessori Charter School #474</v>
      </c>
      <c r="D137">
        <v>1</v>
      </c>
      <c r="E137" s="37">
        <f>IF(settings!$G$4=0,'Student Enrollment Data'!BA139,'Student Enrollment Data'!CN139)</f>
        <v>195.5</v>
      </c>
      <c r="F137" s="37">
        <f>IF(settings!$G$4=0,'Student Enrollment Data'!BB139,'Student Enrollment Data'!CO139)</f>
        <v>18</v>
      </c>
      <c r="G137" s="42">
        <f t="shared" si="2"/>
        <v>213.5</v>
      </c>
      <c r="H137">
        <f>IF(G137&lt;20000,0,IF(G137&gt;19999,settings!$Q$3,('Large District Weight'!G137*settings!$P$6)+settings!P142))</f>
        <v>0</v>
      </c>
    </row>
    <row r="138" spans="1:8">
      <c r="A138" t="str">
        <f>'Student Enrollment Data'!A140</f>
        <v>475</v>
      </c>
      <c r="B138">
        <f>'Student Enrollment Data'!B140</f>
        <v>475</v>
      </c>
      <c r="C138" t="str">
        <f>'Student Enrollment Data'!C140</f>
        <v>Sage International School of Boise #475</v>
      </c>
      <c r="D138">
        <v>1</v>
      </c>
      <c r="E138" s="37">
        <f>IF(settings!$G$4=0,'Student Enrollment Data'!BA140,'Student Enrollment Data'!CN140)</f>
        <v>523.5</v>
      </c>
      <c r="F138" s="37">
        <f>IF(settings!$G$4=0,'Student Enrollment Data'!BB140,'Student Enrollment Data'!CO140)</f>
        <v>433</v>
      </c>
      <c r="G138" s="42">
        <f t="shared" si="2"/>
        <v>956.5</v>
      </c>
      <c r="H138">
        <f>IF(G138&lt;20000,0,IF(G138&gt;19999,settings!$Q$3,('Large District Weight'!G138*settings!$P$6)+settings!P143))</f>
        <v>0</v>
      </c>
    </row>
    <row r="139" spans="1:8">
      <c r="A139" t="str">
        <f>'Student Enrollment Data'!A141</f>
        <v>476</v>
      </c>
      <c r="B139">
        <f>'Student Enrollment Data'!B141</f>
        <v>476</v>
      </c>
      <c r="C139" t="str">
        <f>'Student Enrollment Data'!C141</f>
        <v>Another Choice Virtual Charter School #476</v>
      </c>
      <c r="D139">
        <v>1</v>
      </c>
      <c r="E139" s="37">
        <f>IF(settings!$G$4=0,'Student Enrollment Data'!BA141,'Student Enrollment Data'!CN141)</f>
        <v>120</v>
      </c>
      <c r="F139" s="37">
        <f>IF(settings!$G$4=0,'Student Enrollment Data'!BB141,'Student Enrollment Data'!CO141)</f>
        <v>407</v>
      </c>
      <c r="G139" s="42">
        <f t="shared" si="2"/>
        <v>527</v>
      </c>
      <c r="H139">
        <f>IF(G139&lt;20000,0,IF(G139&gt;19999,settings!$Q$3,('Large District Weight'!G139*settings!$P$6)+settings!P144))</f>
        <v>0</v>
      </c>
    </row>
    <row r="140" spans="1:8">
      <c r="A140" t="str">
        <f>'Student Enrollment Data'!A142</f>
        <v>477</v>
      </c>
      <c r="B140">
        <f>'Student Enrollment Data'!B142</f>
        <v>477</v>
      </c>
      <c r="C140" t="str">
        <f>'Student Enrollment Data'!C142</f>
        <v>Blackfoot Charter Community Learning Center #477</v>
      </c>
      <c r="D140">
        <v>1</v>
      </c>
      <c r="E140" s="37">
        <f>IF(settings!$G$4=0,'Student Enrollment Data'!BA142,'Student Enrollment Data'!CN142)</f>
        <v>491</v>
      </c>
      <c r="F140" s="37">
        <f>IF(settings!$G$4=0,'Student Enrollment Data'!BB142,'Student Enrollment Data'!CO142)</f>
        <v>100</v>
      </c>
      <c r="G140" s="42">
        <f t="shared" si="2"/>
        <v>591</v>
      </c>
      <c r="H140">
        <f>IF(G140&lt;20000,0,IF(G140&gt;19999,settings!$Q$3,('Large District Weight'!G140*settings!$P$6)+settings!P145))</f>
        <v>0</v>
      </c>
    </row>
    <row r="141" spans="1:8">
      <c r="A141" t="str">
        <f>'Student Enrollment Data'!A143</f>
        <v>478</v>
      </c>
      <c r="B141">
        <f>'Student Enrollment Data'!B143</f>
        <v>478</v>
      </c>
      <c r="C141" t="str">
        <f>'Student Enrollment Data'!C143</f>
        <v>Legacy Charter School #478</v>
      </c>
      <c r="D141">
        <v>1</v>
      </c>
      <c r="E141" s="37">
        <f>IF(settings!$G$4=0,'Student Enrollment Data'!BA143,'Student Enrollment Data'!CN143)</f>
        <v>214</v>
      </c>
      <c r="F141" s="37">
        <f>IF(settings!$G$4=0,'Student Enrollment Data'!BB143,'Student Enrollment Data'!CO143)</f>
        <v>73</v>
      </c>
      <c r="G141" s="42">
        <f t="shared" si="2"/>
        <v>287</v>
      </c>
      <c r="H141">
        <f>IF(G141&lt;20000,0,IF(G141&gt;19999,settings!$Q$3,('Large District Weight'!G141*settings!$P$6)+settings!P146))</f>
        <v>0</v>
      </c>
    </row>
    <row r="142" spans="1:8">
      <c r="A142" t="str">
        <f>'Student Enrollment Data'!A144</f>
        <v>479</v>
      </c>
      <c r="B142">
        <f>'Student Enrollment Data'!B144</f>
        <v>479</v>
      </c>
      <c r="C142" t="str">
        <f>'Student Enrollment Data'!C144</f>
        <v>Heritage Academy #479</v>
      </c>
      <c r="D142">
        <v>1</v>
      </c>
      <c r="E142" s="37">
        <f>IF(settings!$G$4=0,'Student Enrollment Data'!BA144,'Student Enrollment Data'!CN144)</f>
        <v>111</v>
      </c>
      <c r="F142" s="37">
        <f>IF(settings!$G$4=0,'Student Enrollment Data'!BB144,'Student Enrollment Data'!CO144)</f>
        <v>50</v>
      </c>
      <c r="G142" s="42">
        <f t="shared" si="2"/>
        <v>161</v>
      </c>
      <c r="H142">
        <f>IF(G142&lt;20000,0,IF(G142&gt;19999,settings!$Q$3,('Large District Weight'!G142*settings!$P$6)+settings!P147))</f>
        <v>0</v>
      </c>
    </row>
    <row r="143" spans="1:8">
      <c r="A143" t="str">
        <f>'Student Enrollment Data'!A145</f>
        <v>480</v>
      </c>
      <c r="B143">
        <f>'Student Enrollment Data'!B145</f>
        <v>480</v>
      </c>
      <c r="C143" t="str">
        <f>'Student Enrollment Data'!C145</f>
        <v>STEM Charter Academy #480</v>
      </c>
      <c r="D143">
        <v>1</v>
      </c>
      <c r="E143" s="37">
        <f>IF(settings!$G$4=0,'Student Enrollment Data'!BA145,'Student Enrollment Data'!CN145)</f>
        <v>359.5</v>
      </c>
      <c r="F143" s="37">
        <f>IF(settings!$G$4=0,'Student Enrollment Data'!BB145,'Student Enrollment Data'!CO145)</f>
        <v>145</v>
      </c>
      <c r="G143" s="42">
        <f t="shared" si="2"/>
        <v>504.5</v>
      </c>
      <c r="H143">
        <f>IF(G143&lt;20000,0,IF(G143&gt;19999,settings!$Q$3,('Large District Weight'!G143*settings!$P$6)+settings!P148))</f>
        <v>0</v>
      </c>
    </row>
    <row r="144" spans="1:8">
      <c r="A144" t="str">
        <f>'Student Enrollment Data'!A146</f>
        <v>481</v>
      </c>
      <c r="B144">
        <f>'Student Enrollment Data'!B146</f>
        <v>481</v>
      </c>
      <c r="C144" t="str">
        <f>'Student Enrollment Data'!C146</f>
        <v>Heritage Community Charter School #481</v>
      </c>
      <c r="D144">
        <v>1</v>
      </c>
      <c r="E144" s="37">
        <f>IF(settings!$G$4=0,'Student Enrollment Data'!BA146,'Student Enrollment Data'!CN146)</f>
        <v>372</v>
      </c>
      <c r="F144" s="37">
        <f>IF(settings!$G$4=0,'Student Enrollment Data'!BB146,'Student Enrollment Data'!CO146)</f>
        <v>91</v>
      </c>
      <c r="G144" s="42">
        <f t="shared" si="2"/>
        <v>463</v>
      </c>
      <c r="H144">
        <f>IF(G144&lt;20000,0,IF(G144&gt;19999,settings!$Q$3,('Large District Weight'!G144*settings!$P$6)+settings!P149))</f>
        <v>0</v>
      </c>
    </row>
    <row r="145" spans="1:8">
      <c r="A145" t="str">
        <f>'Student Enrollment Data'!A147</f>
        <v>482</v>
      </c>
      <c r="B145">
        <f>'Student Enrollment Data'!B147</f>
        <v>482</v>
      </c>
      <c r="C145" t="str">
        <f>'Student Enrollment Data'!C147</f>
        <v>American Heritage Charter School #482</v>
      </c>
      <c r="D145">
        <v>1</v>
      </c>
      <c r="E145" s="37">
        <f>IF(settings!$G$4=0,'Student Enrollment Data'!BA147,'Student Enrollment Data'!CN147)</f>
        <v>225.5</v>
      </c>
      <c r="F145" s="37">
        <f>IF(settings!$G$4=0,'Student Enrollment Data'!BB147,'Student Enrollment Data'!CO147)</f>
        <v>114</v>
      </c>
      <c r="G145" s="42">
        <f t="shared" si="2"/>
        <v>339.5</v>
      </c>
      <c r="H145">
        <f>IF(G145&lt;20000,0,IF(G145&gt;19999,settings!$Q$3,('Large District Weight'!G145*settings!$P$6)+settings!P150))</f>
        <v>0</v>
      </c>
    </row>
    <row r="146" spans="1:8">
      <c r="A146" t="str">
        <f>'Student Enrollment Data'!A148</f>
        <v>483</v>
      </c>
      <c r="B146">
        <f>'Student Enrollment Data'!B148</f>
        <v>483</v>
      </c>
      <c r="C146" t="str">
        <f>'Student Enrollment Data'!C148</f>
        <v>Chief Tahgee Elementary Academy #483</v>
      </c>
      <c r="D146">
        <v>1</v>
      </c>
      <c r="E146" s="37">
        <f>IF(settings!$G$4=0,'Student Enrollment Data'!BA148,'Student Enrollment Data'!CN148)</f>
        <v>74.5</v>
      </c>
      <c r="F146" s="37">
        <f>IF(settings!$G$4=0,'Student Enrollment Data'!BB148,'Student Enrollment Data'!CO148)</f>
        <v>3</v>
      </c>
      <c r="G146" s="42">
        <f t="shared" si="2"/>
        <v>77.5</v>
      </c>
      <c r="H146">
        <f>IF(G146&lt;20000,0,IF(G146&gt;19999,settings!$Q$3,('Large District Weight'!G146*settings!$P$6)+settings!P151))</f>
        <v>0</v>
      </c>
    </row>
    <row r="147" spans="1:8">
      <c r="A147" t="str">
        <f>'Student Enrollment Data'!A149</f>
        <v>485</v>
      </c>
      <c r="B147">
        <f>'Student Enrollment Data'!B149</f>
        <v>485</v>
      </c>
      <c r="C147" t="str">
        <f>'Student Enrollment Data'!C149</f>
        <v>Bingham Academy #485</v>
      </c>
      <c r="D147">
        <v>1</v>
      </c>
      <c r="E147" s="37">
        <f>IF(settings!$G$4=0,'Student Enrollment Data'!BA149,'Student Enrollment Data'!CN149)</f>
        <v>0</v>
      </c>
      <c r="F147" s="37">
        <f>IF(settings!$G$4=0,'Student Enrollment Data'!BB149,'Student Enrollment Data'!CO149)</f>
        <v>118</v>
      </c>
      <c r="G147" s="42">
        <f t="shared" si="2"/>
        <v>118</v>
      </c>
      <c r="H147">
        <f>IF(G147&lt;20000,0,IF(G147&gt;19999,settings!$Q$3,('Large District Weight'!G147*settings!$P$6)+settings!P152))</f>
        <v>0</v>
      </c>
    </row>
    <row r="148" spans="1:8">
      <c r="A148" t="str">
        <f>'Student Enrollment Data'!A150</f>
        <v>486</v>
      </c>
      <c r="B148">
        <f>'Student Enrollment Data'!B150</f>
        <v>486</v>
      </c>
      <c r="C148" t="str">
        <f>'Student Enrollment Data'!C150</f>
        <v>Upper Carmen Charter School #486</v>
      </c>
      <c r="D148">
        <v>1</v>
      </c>
      <c r="E148" s="37">
        <f>IF(settings!$G$4=0,'Student Enrollment Data'!BA150,'Student Enrollment Data'!CN150)</f>
        <v>76.5</v>
      </c>
      <c r="F148" s="37">
        <f>IF(settings!$G$4=0,'Student Enrollment Data'!BB150,'Student Enrollment Data'!CO150)</f>
        <v>18</v>
      </c>
      <c r="G148" s="42">
        <f t="shared" si="2"/>
        <v>94.5</v>
      </c>
      <c r="H148">
        <f>IF(G148&lt;20000,0,IF(G148&gt;19999,settings!$Q$3,('Large District Weight'!G148*settings!$P$6)+settings!P153))</f>
        <v>0</v>
      </c>
    </row>
    <row r="149" spans="1:8">
      <c r="A149" t="str">
        <f>'Student Enrollment Data'!A151</f>
        <v>487</v>
      </c>
      <c r="B149">
        <f>'Student Enrollment Data'!B151</f>
        <v>487</v>
      </c>
      <c r="C149" t="str">
        <f>'Student Enrollment Data'!C151</f>
        <v>Forrest M. Bird Charter School #487</v>
      </c>
      <c r="D149">
        <v>1</v>
      </c>
      <c r="E149" s="37">
        <f>IF(settings!$G$4=0,'Student Enrollment Data'!BA151,'Student Enrollment Data'!CN151)</f>
        <v>37</v>
      </c>
      <c r="F149" s="37">
        <f>IF(settings!$G$4=0,'Student Enrollment Data'!BB151,'Student Enrollment Data'!CO151)</f>
        <v>281</v>
      </c>
      <c r="G149" s="42">
        <f t="shared" si="2"/>
        <v>318</v>
      </c>
      <c r="H149">
        <f>IF(G149&lt;20000,0,IF(G149&gt;19999,settings!$Q$3,('Large District Weight'!G149*settings!$P$6)+settings!P154))</f>
        <v>0</v>
      </c>
    </row>
    <row r="150" spans="1:8">
      <c r="A150" t="str">
        <f>'Student Enrollment Data'!A152</f>
        <v>488</v>
      </c>
      <c r="B150">
        <f>'Student Enrollment Data'!B152</f>
        <v>488</v>
      </c>
      <c r="C150" t="str">
        <f>'Student Enrollment Data'!C152</f>
        <v>Syringa Mountain School #488</v>
      </c>
      <c r="D150">
        <v>1</v>
      </c>
      <c r="E150" s="37">
        <f>IF(settings!$G$4=0,'Student Enrollment Data'!BA152,'Student Enrollment Data'!CN152)</f>
        <v>96.5</v>
      </c>
      <c r="F150" s="37">
        <f>IF(settings!$G$4=0,'Student Enrollment Data'!BB152,'Student Enrollment Data'!CO152)</f>
        <v>7</v>
      </c>
      <c r="G150" s="42">
        <f t="shared" si="2"/>
        <v>103.5</v>
      </c>
      <c r="H150">
        <f>IF(G150&lt;20000,0,IF(G150&gt;19999,settings!$Q$3,('Large District Weight'!G150*settings!$P$6)+settings!P155))</f>
        <v>0</v>
      </c>
    </row>
    <row r="151" spans="1:8">
      <c r="A151" t="str">
        <f>'Student Enrollment Data'!A153</f>
        <v>489</v>
      </c>
      <c r="B151">
        <f>'Student Enrollment Data'!B153</f>
        <v>489</v>
      </c>
      <c r="C151" t="str">
        <f>'Student Enrollment Data'!C153</f>
        <v>Idaho Technical Career Academy #489</v>
      </c>
      <c r="D151">
        <v>1</v>
      </c>
      <c r="E151" s="37">
        <f>IF(settings!$G$4=0,'Student Enrollment Data'!BA153,'Student Enrollment Data'!CN153)</f>
        <v>0</v>
      </c>
      <c r="F151" s="37">
        <f>IF(settings!$G$4=0,'Student Enrollment Data'!BB153,'Student Enrollment Data'!CO153)</f>
        <v>136</v>
      </c>
      <c r="G151" s="42">
        <f t="shared" si="2"/>
        <v>136</v>
      </c>
      <c r="H151">
        <f>IF(G151&lt;20000,0,IF(G151&gt;19999,settings!$Q$3,('Large District Weight'!G151*settings!$P$6)+settings!P156))</f>
        <v>0</v>
      </c>
    </row>
    <row r="152" spans="1:8">
      <c r="A152" t="str">
        <f>'Student Enrollment Data'!A154</f>
        <v>490</v>
      </c>
      <c r="B152">
        <f>'Student Enrollment Data'!B154</f>
        <v>490</v>
      </c>
      <c r="C152" t="str">
        <f>'Student Enrollment Data'!C154</f>
        <v>Idaho Distance Education Academy #490</v>
      </c>
      <c r="D152">
        <v>1</v>
      </c>
      <c r="E152" s="37">
        <f>IF(settings!$G$4=0,'Student Enrollment Data'!BA154,'Student Enrollment Data'!CN154)</f>
        <v>119</v>
      </c>
      <c r="F152" s="37">
        <f>IF(settings!$G$4=0,'Student Enrollment Data'!BB154,'Student Enrollment Data'!CO154)</f>
        <v>332</v>
      </c>
      <c r="G152" s="42">
        <f t="shared" si="2"/>
        <v>451</v>
      </c>
      <c r="H152">
        <f>IF(G152&lt;20000,0,IF(G152&gt;19999,settings!$Q$3,('Large District Weight'!G152*settings!$P$6)+settings!P157))</f>
        <v>0</v>
      </c>
    </row>
    <row r="153" spans="1:8">
      <c r="A153" t="str">
        <f>'Student Enrollment Data'!A155</f>
        <v>491</v>
      </c>
      <c r="B153">
        <f>'Student Enrollment Data'!B155</f>
        <v>491</v>
      </c>
      <c r="C153" t="str">
        <f>'Student Enrollment Data'!C155</f>
        <v>Coeur d' Alene Charter Academy #491</v>
      </c>
      <c r="D153">
        <v>1</v>
      </c>
      <c r="E153" s="37">
        <f>IF(settings!$G$4=0,'Student Enrollment Data'!BA155,'Student Enrollment Data'!CN155)</f>
        <v>141</v>
      </c>
      <c r="F153" s="37">
        <f>IF(settings!$G$4=0,'Student Enrollment Data'!BB155,'Student Enrollment Data'!CO155)</f>
        <v>546</v>
      </c>
      <c r="G153" s="42">
        <f t="shared" si="2"/>
        <v>687</v>
      </c>
      <c r="H153">
        <f>IF(G153&lt;20000,0,IF(G153&gt;19999,settings!$Q$3,('Large District Weight'!G153*settings!$P$6)+settings!P158))</f>
        <v>0</v>
      </c>
    </row>
    <row r="154" spans="1:8">
      <c r="A154" t="str">
        <f>'Student Enrollment Data'!A156</f>
        <v>492</v>
      </c>
      <c r="B154">
        <f>'Student Enrollment Data'!B156</f>
        <v>492</v>
      </c>
      <c r="C154" t="str">
        <f>'Student Enrollment Data'!C156</f>
        <v>ANSER Charter School #492</v>
      </c>
      <c r="D154">
        <v>1</v>
      </c>
      <c r="E154" s="37">
        <f>IF(settings!$G$4=0,'Student Enrollment Data'!BA156,'Student Enrollment Data'!CN156)</f>
        <v>252</v>
      </c>
      <c r="F154" s="37">
        <f>IF(settings!$G$4=0,'Student Enrollment Data'!BB156,'Student Enrollment Data'!CO156)</f>
        <v>102</v>
      </c>
      <c r="G154" s="42">
        <f t="shared" si="2"/>
        <v>354</v>
      </c>
      <c r="H154">
        <f>IF(G154&lt;20000,0,IF(G154&gt;19999,settings!$Q$3,('Large District Weight'!G154*settings!$P$6)+settings!P159))</f>
        <v>0</v>
      </c>
    </row>
    <row r="155" spans="1:8">
      <c r="A155" t="str">
        <f>'Student Enrollment Data'!A157</f>
        <v>493</v>
      </c>
      <c r="B155">
        <f>'Student Enrollment Data'!B157</f>
        <v>493</v>
      </c>
      <c r="C155" t="str">
        <f>'Student Enrollment Data'!C157</f>
        <v>North Star Charter School #493</v>
      </c>
      <c r="D155">
        <v>1</v>
      </c>
      <c r="E155" s="37">
        <f>IF(settings!$G$4=0,'Student Enrollment Data'!BA157,'Student Enrollment Data'!CN157)</f>
        <v>591</v>
      </c>
      <c r="F155" s="37">
        <f>IF(settings!$G$4=0,'Student Enrollment Data'!BB157,'Student Enrollment Data'!CO157)</f>
        <v>342</v>
      </c>
      <c r="G155" s="42">
        <f t="shared" si="2"/>
        <v>933</v>
      </c>
      <c r="H155">
        <f>IF(G155&lt;20000,0,IF(G155&gt;19999,settings!$Q$3,('Large District Weight'!G155*settings!$P$6)+settings!P160))</f>
        <v>0</v>
      </c>
    </row>
    <row r="156" spans="1:8">
      <c r="A156" t="str">
        <f>'Student Enrollment Data'!A158</f>
        <v>494</v>
      </c>
      <c r="B156">
        <f>'Student Enrollment Data'!B158</f>
        <v>494</v>
      </c>
      <c r="C156" t="str">
        <f>'Student Enrollment Data'!C158</f>
        <v>Pocatello Community Charter School #494</v>
      </c>
      <c r="D156">
        <v>1</v>
      </c>
      <c r="E156" s="37">
        <f>IF(settings!$G$4=0,'Student Enrollment Data'!BA158,'Student Enrollment Data'!CN158)</f>
        <v>244</v>
      </c>
      <c r="F156" s="37">
        <f>IF(settings!$G$4=0,'Student Enrollment Data'!BB158,'Student Enrollment Data'!CO158)</f>
        <v>83</v>
      </c>
      <c r="G156" s="42">
        <f t="shared" si="2"/>
        <v>327</v>
      </c>
      <c r="H156">
        <f>IF(G156&lt;20000,0,IF(G156&gt;19999,settings!$Q$3,('Large District Weight'!G156*settings!$P$6)+settings!P161))</f>
        <v>0</v>
      </c>
    </row>
    <row r="157" spans="1:8">
      <c r="A157" t="str">
        <f>'Student Enrollment Data'!A159</f>
        <v>495</v>
      </c>
      <c r="B157">
        <f>'Student Enrollment Data'!B159</f>
        <v>495</v>
      </c>
      <c r="C157" t="str">
        <f>'Student Enrollment Data'!C159</f>
        <v>Alturas International Academy #495</v>
      </c>
      <c r="D157">
        <v>1</v>
      </c>
      <c r="E157" s="37">
        <f>IF(settings!$G$4=0,'Student Enrollment Data'!BA159,'Student Enrollment Data'!CN159)</f>
        <v>334</v>
      </c>
      <c r="F157" s="37">
        <f>IF(settings!$G$4=0,'Student Enrollment Data'!BB159,'Student Enrollment Data'!CO159)</f>
        <v>100</v>
      </c>
      <c r="G157" s="42">
        <f t="shared" si="2"/>
        <v>434</v>
      </c>
      <c r="H157">
        <f>IF(G157&lt;20000,0,IF(G157&gt;19999,settings!$Q$3,('Large District Weight'!G157*settings!$P$6)+settings!P162))</f>
        <v>0</v>
      </c>
    </row>
    <row r="158" spans="1:8">
      <c r="A158" t="str">
        <f>'Student Enrollment Data'!A160</f>
        <v>496</v>
      </c>
      <c r="B158">
        <f>'Student Enrollment Data'!B160</f>
        <v>496</v>
      </c>
      <c r="C158" t="str">
        <f>'Student Enrollment Data'!C160</f>
        <v>Gem Prep: Pocatello #496</v>
      </c>
      <c r="D158">
        <v>1</v>
      </c>
      <c r="E158" s="37">
        <f>IF(settings!$G$4=0,'Student Enrollment Data'!BA160,'Student Enrollment Data'!CN160)</f>
        <v>172</v>
      </c>
      <c r="F158" s="37">
        <f>IF(settings!$G$4=0,'Student Enrollment Data'!BB160,'Student Enrollment Data'!CO160)</f>
        <v>0</v>
      </c>
      <c r="G158" s="42">
        <f t="shared" si="2"/>
        <v>172</v>
      </c>
      <c r="H158">
        <f>IF(G158&lt;20000,0,IF(G158&gt;19999,settings!$Q$3,('Large District Weight'!G158*settings!$P$6)+settings!P163))</f>
        <v>0</v>
      </c>
    </row>
    <row r="159" spans="1:8">
      <c r="A159" t="str">
        <f>'Student Enrollment Data'!A161</f>
        <v>497</v>
      </c>
      <c r="B159">
        <f>'Student Enrollment Data'!B161</f>
        <v>497</v>
      </c>
      <c r="C159" t="str">
        <f>'Student Enrollment Data'!C161</f>
        <v>Pathways in Education - Nampa #497</v>
      </c>
      <c r="D159">
        <v>1</v>
      </c>
      <c r="E159" s="37">
        <f>IF(settings!$G$4=0,'Student Enrollment Data'!BA161,'Student Enrollment Data'!CN161)</f>
        <v>0</v>
      </c>
      <c r="F159" s="37">
        <f>IF(settings!$G$4=0,'Student Enrollment Data'!BB161,'Student Enrollment Data'!CO161)</f>
        <v>285</v>
      </c>
      <c r="G159" s="42">
        <f t="shared" si="2"/>
        <v>285</v>
      </c>
      <c r="H159">
        <f>IF(G159&lt;20000,0,IF(G159&gt;19999,settings!$Q$3,('Large District Weight'!G159*settings!$P$6)+settings!P164))</f>
        <v>0</v>
      </c>
    </row>
    <row r="160" spans="1:8">
      <c r="A160">
        <v>498</v>
      </c>
      <c r="B160">
        <v>498</v>
      </c>
      <c r="C160" t="s">
        <v>631</v>
      </c>
      <c r="D160">
        <v>1</v>
      </c>
      <c r="E160" s="37">
        <f>IF(settings!$G$4=0,'Student Enrollment Data'!BA162,'Student Enrollment Data'!CN162)</f>
        <v>245</v>
      </c>
      <c r="F160" s="37">
        <f>IF(settings!$G$4=0,'Student Enrollment Data'!BB162,'Student Enrollment Data'!CO162)</f>
        <v>0</v>
      </c>
      <c r="G160" s="42">
        <f t="shared" ref="G160:G164" si="3">E160+F160</f>
        <v>245</v>
      </c>
      <c r="H160">
        <f>IF(G160&lt;20000,0,IF(G160&gt;19999,settings!$Q$3,('Large District Weight'!G160*settings!$P$6)+settings!P165))</f>
        <v>0</v>
      </c>
    </row>
    <row r="161" spans="1:8">
      <c r="A161">
        <v>499</v>
      </c>
      <c r="B161">
        <v>499</v>
      </c>
      <c r="C161" t="s">
        <v>632</v>
      </c>
      <c r="D161">
        <v>1</v>
      </c>
      <c r="E161" s="37">
        <f>IF(settings!$G$4=0,'Student Enrollment Data'!BA163,'Student Enrollment Data'!CN163)</f>
        <v>197</v>
      </c>
      <c r="F161" s="37">
        <f>IF(settings!$G$4=0,'Student Enrollment Data'!BB163,'Student Enrollment Data'!CO163)</f>
        <v>0</v>
      </c>
      <c r="G161" s="42">
        <f t="shared" si="3"/>
        <v>197</v>
      </c>
      <c r="H161">
        <f>IF(G161&lt;20000,0,IF(G161&gt;19999,settings!$Q$3,('Large District Weight'!G161*settings!$P$6)+settings!P166))</f>
        <v>0</v>
      </c>
    </row>
    <row r="162" spans="1:8">
      <c r="A162">
        <v>511</v>
      </c>
      <c r="B162">
        <v>511</v>
      </c>
      <c r="C162" t="s">
        <v>633</v>
      </c>
      <c r="D162">
        <v>1</v>
      </c>
      <c r="E162" s="37">
        <f>IF(settings!$G$4=0,'Student Enrollment Data'!BA164,'Student Enrollment Data'!CN164)</f>
        <v>248.5</v>
      </c>
      <c r="F162" s="37">
        <f>IF(settings!$G$4=0,'Student Enrollment Data'!BB164,'Student Enrollment Data'!CO164)</f>
        <v>0</v>
      </c>
      <c r="G162" s="42">
        <f t="shared" si="3"/>
        <v>248.5</v>
      </c>
      <c r="H162">
        <f>IF(G162&lt;20000,0,IF(G162&gt;19999,settings!$Q$3,('Large District Weight'!G162*settings!$P$6)+settings!P167))</f>
        <v>0</v>
      </c>
    </row>
    <row r="163" spans="1:8">
      <c r="A163">
        <v>513</v>
      </c>
      <c r="B163">
        <v>513</v>
      </c>
      <c r="C163" t="s">
        <v>634</v>
      </c>
      <c r="D163">
        <v>1</v>
      </c>
      <c r="E163" s="37">
        <f>IF(settings!$G$4=0,'Student Enrollment Data'!BA165,'Student Enrollment Data'!CN165)</f>
        <v>190.5</v>
      </c>
      <c r="F163" s="37">
        <f>IF(settings!$G$4=0,'Student Enrollment Data'!BB165,'Student Enrollment Data'!CO165)</f>
        <v>51</v>
      </c>
      <c r="G163" s="42">
        <f t="shared" si="3"/>
        <v>241.5</v>
      </c>
      <c r="H163">
        <f>IF(G163&lt;20000,0,IF(G163&gt;19999,settings!$Q$3,('Large District Weight'!G163*settings!$P$6)+settings!P168))</f>
        <v>0</v>
      </c>
    </row>
    <row r="164" spans="1:8">
      <c r="A164">
        <v>518</v>
      </c>
      <c r="B164">
        <v>518</v>
      </c>
      <c r="C164" t="s">
        <v>635</v>
      </c>
      <c r="D164">
        <v>1</v>
      </c>
      <c r="E164" s="37">
        <f>IF(settings!$G$4=0,'Student Enrollment Data'!BA166,'Student Enrollment Data'!CN166)</f>
        <v>0</v>
      </c>
      <c r="F164" s="37">
        <f>IF(settings!$G$4=0,'Student Enrollment Data'!BB166,'Student Enrollment Data'!CO166)</f>
        <v>202</v>
      </c>
      <c r="G164" s="42">
        <f t="shared" si="3"/>
        <v>202</v>
      </c>
      <c r="H164">
        <f>IF(G164&lt;20000,0,IF(G164&gt;19999,settings!$Q$3,('Large District Weight'!G164*settings!$P$6)+settings!P169))</f>
        <v>0</v>
      </c>
    </row>
    <row r="165" spans="1:8">
      <c r="A165" t="str">
        <f>'Student Enrollment Data'!A167</f>
        <v>555</v>
      </c>
      <c r="B165">
        <f>'Student Enrollment Data'!B167</f>
        <v>555</v>
      </c>
      <c r="C165" t="str">
        <f>'Student Enrollment Data'!C167</f>
        <v>COSSA Academy #555</v>
      </c>
      <c r="D165">
        <v>1</v>
      </c>
      <c r="E165" s="37">
        <f>IF(settings!$G$4=0,'Student Enrollment Data'!BA167,'Student Enrollment Data'!CN167)</f>
        <v>0</v>
      </c>
      <c r="F165" s="37">
        <f>IF(settings!$G$4=0,'Student Enrollment Data'!BB167,'Student Enrollment Data'!CO167)</f>
        <v>127</v>
      </c>
      <c r="G165" s="42">
        <f t="shared" si="2"/>
        <v>127</v>
      </c>
      <c r="H165">
        <f>IF(G165&lt;20000,0,IF(G165&gt;19999,settings!$Q$3,('Large District Weight'!G165*settings!$P$6)+settings!P165))</f>
        <v>0</v>
      </c>
    </row>
    <row r="166" spans="1:8">
      <c r="A166" t="str">
        <f>'Student Enrollment Data'!A168</f>
        <v>559</v>
      </c>
      <c r="B166">
        <f>'Student Enrollment Data'!B168</f>
        <v>559</v>
      </c>
      <c r="C166" t="str">
        <f>'Student Enrollment Data'!C168</f>
        <v>Thomas Jefferson Charter School #559</v>
      </c>
      <c r="D166">
        <v>1</v>
      </c>
      <c r="E166" s="37">
        <f>IF(settings!$G$4=0,'Student Enrollment Data'!BA168,'Student Enrollment Data'!CN168)</f>
        <v>193</v>
      </c>
      <c r="F166" s="37">
        <f>IF(settings!$G$4=0,'Student Enrollment Data'!BB168,'Student Enrollment Data'!CO168)</f>
        <v>177</v>
      </c>
      <c r="G166" s="42">
        <f t="shared" si="2"/>
        <v>370</v>
      </c>
      <c r="H166">
        <f>IF(G166&lt;20000,0,IF(G166&gt;19999,settings!$Q$3,('Large District Weight'!G166*settings!$P$6)+settings!P166))</f>
        <v>0</v>
      </c>
    </row>
    <row r="167" spans="1:8">
      <c r="A167" t="str">
        <f>'Student Enrollment Data'!A169</f>
        <v>751</v>
      </c>
      <c r="B167">
        <f>'Student Enrollment Data'!B169</f>
        <v>751</v>
      </c>
      <c r="C167" t="str">
        <f>'Student Enrollment Data'!C169</f>
        <v>SEI Tec #751</v>
      </c>
      <c r="D167">
        <v>1</v>
      </c>
      <c r="E167" s="37">
        <f>IF(settings!$G$4=0,'Student Enrollment Data'!BA169,'Student Enrollment Data'!CN169)</f>
        <v>0</v>
      </c>
      <c r="F167" s="37">
        <f>IF(settings!$G$4=0,'Student Enrollment Data'!BB169,'Student Enrollment Data'!CO169)</f>
        <v>199</v>
      </c>
      <c r="G167" s="42">
        <f t="shared" si="2"/>
        <v>199</v>
      </c>
      <c r="H167">
        <f>IF(G167&lt;20000,0,IF(G167&gt;19999,settings!$Q$3,('Large District Weight'!G167*settings!$P$6)+settings!P167))</f>
        <v>0</v>
      </c>
    </row>
    <row r="168" spans="1:8">
      <c r="A168" t="str">
        <f>'Student Enrollment Data'!A170</f>
        <v>768</v>
      </c>
      <c r="B168">
        <f>'Student Enrollment Data'!B170</f>
        <v>768</v>
      </c>
      <c r="C168" t="str">
        <f>'Student Enrollment Data'!C170</f>
        <v>Meridian Technical Charter High School #768</v>
      </c>
      <c r="D168">
        <v>1</v>
      </c>
      <c r="E168" s="37">
        <f>IF(settings!$G$4=0,'Student Enrollment Data'!BA170,'Student Enrollment Data'!CN170)</f>
        <v>0</v>
      </c>
      <c r="F168" s="37">
        <f>IF(settings!$G$4=0,'Student Enrollment Data'!BB170,'Student Enrollment Data'!CO170)</f>
        <v>200</v>
      </c>
      <c r="G168" s="42">
        <f t="shared" si="2"/>
        <v>200</v>
      </c>
      <c r="H168">
        <f>IF(G168&lt;20000,0,IF(G168&gt;19999,settings!$Q$3,('Large District Weight'!G168*settings!$P$6)+settings!P168))</f>
        <v>0</v>
      </c>
    </row>
    <row r="169" spans="1:8">
      <c r="A169" t="str">
        <f>'Student Enrollment Data'!A171</f>
        <v>785</v>
      </c>
      <c r="B169">
        <f>'Student Enrollment Data'!B171</f>
        <v>785</v>
      </c>
      <c r="C169" t="str">
        <f>'Student Enrollment Data'!C171</f>
        <v>Meridian Medical Arts Charter High School #785</v>
      </c>
      <c r="D169">
        <v>1</v>
      </c>
      <c r="E169" s="37">
        <f>IF(settings!$G$4=0,'Student Enrollment Data'!BA171,'Student Enrollment Data'!CN171)</f>
        <v>0</v>
      </c>
      <c r="F169" s="37">
        <f>IF(settings!$G$4=0,'Student Enrollment Data'!BB171,'Student Enrollment Data'!CO171)</f>
        <v>194</v>
      </c>
      <c r="G169" s="42">
        <f t="shared" si="2"/>
        <v>194</v>
      </c>
      <c r="H169">
        <f>IF(G169&lt;20000,0,IF(G169&gt;19999,settings!$Q$3,('Large District Weight'!G169*settings!$P$6)+settings!P169))</f>
        <v>0</v>
      </c>
    </row>
    <row r="170" spans="1:8">
      <c r="A170" t="str">
        <f>'Student Enrollment Data'!A172</f>
        <v>790</v>
      </c>
      <c r="B170">
        <f>'Student Enrollment Data'!B172</f>
        <v>790</v>
      </c>
      <c r="C170" t="str">
        <f>'Student Enrollment Data'!C172</f>
        <v>ARTEC Charter School #790</v>
      </c>
      <c r="D170">
        <v>1</v>
      </c>
      <c r="E170" s="37">
        <f>IF(settings!$G$4=0,'Student Enrollment Data'!BA172,'Student Enrollment Data'!CN172)</f>
        <v>0</v>
      </c>
      <c r="F170" s="37">
        <f>IF(settings!$G$4=0,'Student Enrollment Data'!BB172,'Student Enrollment Data'!CO172)</f>
        <v>200</v>
      </c>
      <c r="G170" s="42">
        <f t="shared" si="2"/>
        <v>200</v>
      </c>
      <c r="H170">
        <f>IF(G170&lt;20000,0,IF(G170&gt;19999,settings!$Q$3,('Large District Weight'!G170*settings!$P$6)+settings!P170))</f>
        <v>0</v>
      </c>
    </row>
    <row r="171" spans="1:8">
      <c r="A171" t="str">
        <f>'Student Enrollment Data'!A173</f>
        <v>794</v>
      </c>
      <c r="B171">
        <f>'Student Enrollment Data'!B173</f>
        <v>794</v>
      </c>
      <c r="C171" t="str">
        <f>'Student Enrollment Data'!C173</f>
        <v>Payette River Technical Academy #794</v>
      </c>
      <c r="D171">
        <v>1</v>
      </c>
      <c r="E171" s="37">
        <f>IF(settings!$G$4=0,'Student Enrollment Data'!BA173,'Student Enrollment Data'!CN173)</f>
        <v>0</v>
      </c>
      <c r="F171" s="37">
        <f>IF(settings!$G$4=0,'Student Enrollment Data'!BB173,'Student Enrollment Data'!CO173)</f>
        <v>195</v>
      </c>
      <c r="G171" s="42">
        <f t="shared" si="2"/>
        <v>195</v>
      </c>
      <c r="H171">
        <f>IF(G171&lt;20000,0,IF(G171&gt;19999,settings!$Q$3,('Large District Weight'!G171*settings!$P$6)+settings!P171))</f>
        <v>0</v>
      </c>
    </row>
    <row r="172" spans="1:8">
      <c r="A172" t="str">
        <f>'Student Enrollment Data'!A174</f>
        <v>795</v>
      </c>
      <c r="B172">
        <f>'Student Enrollment Data'!B174</f>
        <v>795</v>
      </c>
      <c r="C172" t="str">
        <f>'Student Enrollment Data'!C174</f>
        <v>Idaho Arts Charter School #795</v>
      </c>
      <c r="D172">
        <v>1</v>
      </c>
      <c r="E172" s="37">
        <f>IF(settings!$G$4=0,'Student Enrollment Data'!BA174,'Student Enrollment Data'!CN174)</f>
        <v>778</v>
      </c>
      <c r="F172" s="37">
        <f>IF(settings!$G$4=0,'Student Enrollment Data'!BB174,'Student Enrollment Data'!CO174)</f>
        <v>338</v>
      </c>
      <c r="G172" s="42">
        <f t="shared" si="2"/>
        <v>1116</v>
      </c>
      <c r="H172">
        <f>IF(G172&lt;20000,0,IF(G172&gt;19999,settings!$Q$3,('Large District Weight'!G172*settings!$P$6)+settings!P172))</f>
        <v>0</v>
      </c>
    </row>
    <row r="173" spans="1:8">
      <c r="A173" t="str">
        <f>'Student Enrollment Data'!A175</f>
        <v>796</v>
      </c>
      <c r="B173">
        <f>'Student Enrollment Data'!B175</f>
        <v>796</v>
      </c>
      <c r="C173" t="str">
        <f>'Student Enrollment Data'!C175</f>
        <v>Gem Prep: Nampa #796</v>
      </c>
      <c r="D173">
        <v>1</v>
      </c>
      <c r="E173" s="37">
        <f>IF(settings!$G$4=0,'Student Enrollment Data'!BA175,'Student Enrollment Data'!CN175)</f>
        <v>338.5</v>
      </c>
      <c r="F173" s="37">
        <f>IF(settings!$G$4=0,'Student Enrollment Data'!BB175,'Student Enrollment Data'!CO175)</f>
        <v>0</v>
      </c>
      <c r="G173" s="42">
        <f t="shared" si="2"/>
        <v>338.5</v>
      </c>
      <c r="H173">
        <f>IF(G173&lt;20000,0,IF(G173&gt;19999,settings!$Q$3,('Large District Weight'!G173*settings!$P$6)+settings!P173))</f>
        <v>0</v>
      </c>
    </row>
    <row r="174" spans="1:8">
      <c r="A174" t="str">
        <f>'Student Enrollment Data'!A176</f>
        <v>813</v>
      </c>
      <c r="B174">
        <f>'Student Enrollment Data'!B176</f>
        <v>813</v>
      </c>
      <c r="C174" t="str">
        <f>'Student Enrollment Data'!C176</f>
        <v>Moscow Charter School #813</v>
      </c>
      <c r="D174">
        <v>1</v>
      </c>
      <c r="E174" s="37">
        <f>IF(settings!$G$4=0,'Student Enrollment Data'!BA176,'Student Enrollment Data'!CN176)</f>
        <v>131</v>
      </c>
      <c r="F174" s="37">
        <f>IF(settings!$G$4=0,'Student Enrollment Data'!BB176,'Student Enrollment Data'!CO176)</f>
        <v>34</v>
      </c>
      <c r="G174" s="42">
        <f t="shared" si="2"/>
        <v>165</v>
      </c>
      <c r="H174">
        <f>IF(G174&lt;20000,0,IF(G174&gt;19999,settings!$Q$3,('Large District Weight'!G174*settings!$P$6)+settings!P174))</f>
        <v>0</v>
      </c>
    </row>
    <row r="176" spans="1:8">
      <c r="E176" s="42">
        <f>SUM(E2:E175)</f>
        <v>151956</v>
      </c>
      <c r="F176" s="42">
        <f>SUM(F2:F175)</f>
        <v>141727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69"/>
  <sheetViews>
    <sheetView workbookViewId="0"/>
  </sheetViews>
  <sheetFormatPr defaultColWidth="8.85546875" defaultRowHeight="15"/>
  <cols>
    <col min="3" max="3" width="26" bestFit="1" customWidth="1"/>
    <col min="4" max="4" width="14.85546875" bestFit="1" customWidth="1"/>
    <col min="5" max="5" width="16" customWidth="1"/>
    <col min="6" max="6" width="12.7109375" bestFit="1" customWidth="1"/>
    <col min="8" max="8" width="22.140625" customWidth="1"/>
    <col min="9" max="9" width="12.140625" customWidth="1"/>
    <col min="12" max="12" width="47.140625" bestFit="1" customWidth="1"/>
    <col min="13" max="13" width="15.28515625" customWidth="1"/>
    <col min="15" max="16" width="17.7109375" customWidth="1"/>
  </cols>
  <sheetData>
    <row r="1" spans="1:24" ht="75">
      <c r="A1" s="143" t="s">
        <v>564</v>
      </c>
      <c r="B1" s="143"/>
      <c r="C1" s="144" t="s">
        <v>361</v>
      </c>
      <c r="D1" s="232" t="s">
        <v>638</v>
      </c>
      <c r="E1" s="233" t="s">
        <v>636</v>
      </c>
      <c r="F1" s="143" t="s">
        <v>637</v>
      </c>
      <c r="G1" s="145" t="s">
        <v>591</v>
      </c>
      <c r="H1" s="75" t="s">
        <v>593</v>
      </c>
      <c r="I1" s="75" t="s">
        <v>594</v>
      </c>
      <c r="J1" t="s">
        <v>595</v>
      </c>
      <c r="K1" t="s">
        <v>596</v>
      </c>
      <c r="L1" t="s">
        <v>597</v>
      </c>
      <c r="M1" s="75" t="s">
        <v>598</v>
      </c>
      <c r="N1" s="75"/>
      <c r="O1" s="75" t="s">
        <v>599</v>
      </c>
      <c r="P1" s="75" t="s">
        <v>600</v>
      </c>
    </row>
    <row r="2" spans="1:24">
      <c r="A2" s="105">
        <v>1</v>
      </c>
      <c r="B2" s="148">
        <f>A2*1</f>
        <v>1</v>
      </c>
      <c r="C2" s="106" t="s">
        <v>447</v>
      </c>
      <c r="D2" s="107">
        <v>22700830133</v>
      </c>
      <c r="E2" s="146">
        <f>'Student Enrollment Data'!CK4</f>
        <v>24454.5</v>
      </c>
      <c r="F2" s="104">
        <f t="shared" ref="F2:F65" si="0">SUM(D2/E2)</f>
        <v>928288.45950643031</v>
      </c>
      <c r="G2" s="145">
        <f>SUM(F2/$F$118)</f>
        <v>1.6383226411082423</v>
      </c>
      <c r="H2">
        <f>IF(G2&gt;1,0,G2-1)*-1</f>
        <v>0</v>
      </c>
      <c r="I2">
        <f>IF(H2&gt;'Front page'!$E$21,'Front page'!$E$21,H2)+1</f>
        <v>1</v>
      </c>
      <c r="J2" s="37">
        <f>SUM(I2)</f>
        <v>1</v>
      </c>
      <c r="K2">
        <v>1</v>
      </c>
      <c r="L2" t="s">
        <v>12</v>
      </c>
      <c r="M2">
        <f>IFERROR(VLOOKUP(K2,$B$2:$J$116,9,FALSE),1)</f>
        <v>1</v>
      </c>
      <c r="O2" s="86">
        <f>IF(H2=1,0,IF(H2&lt;0.1,0.1,H2*-1))</f>
        <v>0.1</v>
      </c>
      <c r="P2" s="86">
        <f>IF(O2&gt;10%,10%,O2)</f>
        <v>0.1</v>
      </c>
      <c r="R2" s="42"/>
    </row>
    <row r="3" spans="1:24">
      <c r="A3" s="105">
        <v>2</v>
      </c>
      <c r="B3" s="148">
        <f t="shared" ref="B3:B66" si="1">A3*1</f>
        <v>2</v>
      </c>
      <c r="C3" s="106" t="s">
        <v>448</v>
      </c>
      <c r="D3" s="107">
        <v>21501634945</v>
      </c>
      <c r="E3" s="146">
        <f>'Student Enrollment Data'!CK5</f>
        <v>37815</v>
      </c>
      <c r="F3" s="104">
        <f t="shared" si="0"/>
        <v>568600.6861033981</v>
      </c>
      <c r="G3" s="145">
        <f t="shared" ref="G3:G65" si="2">SUM(F3/$F$118)</f>
        <v>1.0035149831423977</v>
      </c>
      <c r="H3">
        <f t="shared" ref="H3:H66" si="3">IF(G3&gt;1,0,G3-1)*-1</f>
        <v>0</v>
      </c>
      <c r="I3">
        <f>IF(H3&gt;'Front page'!$E$21,'Front page'!$E$21,H3)+1</f>
        <v>1</v>
      </c>
      <c r="J3" s="37">
        <f t="shared" ref="J3:J66" si="4">SUM(I3)</f>
        <v>1</v>
      </c>
      <c r="K3">
        <v>2</v>
      </c>
      <c r="L3" t="s">
        <v>13</v>
      </c>
      <c r="M3" s="168">
        <f t="shared" ref="M3:M66" si="5">IFERROR(VLOOKUP(K3,$B$2:$J$116,9,FALSE),1)</f>
        <v>1</v>
      </c>
      <c r="O3" s="86">
        <f>IF(H3=1,0,IF(H3&gt;0.01,0.1,H3*-1))</f>
        <v>0</v>
      </c>
      <c r="P3" s="86">
        <f>IF(O3&gt;10%,10%,O3)</f>
        <v>0</v>
      </c>
      <c r="R3" s="188"/>
    </row>
    <row r="4" spans="1:24">
      <c r="A4" s="105">
        <v>3</v>
      </c>
      <c r="B4" s="148">
        <f t="shared" si="1"/>
        <v>3</v>
      </c>
      <c r="C4" s="106" t="s">
        <v>449</v>
      </c>
      <c r="D4" s="107">
        <v>1797494892</v>
      </c>
      <c r="E4" s="146">
        <f>'Student Enrollment Data'!CK6</f>
        <v>5134</v>
      </c>
      <c r="F4" s="104">
        <f t="shared" si="0"/>
        <v>350115.87300350604</v>
      </c>
      <c r="G4" s="145">
        <f t="shared" si="2"/>
        <v>0.61791435181474286</v>
      </c>
      <c r="H4">
        <f t="shared" si="3"/>
        <v>0.38208564818525714</v>
      </c>
      <c r="I4">
        <f>IF(H4&gt;'Front page'!$E$21,'Front page'!$E$21,H4)+1</f>
        <v>1.1000000000000001</v>
      </c>
      <c r="J4" s="37">
        <f t="shared" si="4"/>
        <v>1.1000000000000001</v>
      </c>
      <c r="K4">
        <v>3</v>
      </c>
      <c r="L4" t="s">
        <v>14</v>
      </c>
      <c r="M4">
        <f t="shared" si="5"/>
        <v>1.1000000000000001</v>
      </c>
      <c r="O4" s="86">
        <f>IF(H4=1,0,IF(H4&gt;0.01,0.01,H4*-1))</f>
        <v>0.01</v>
      </c>
      <c r="P4" s="86">
        <f>IF(O4&gt;10%,10%,O4)</f>
        <v>0.01</v>
      </c>
      <c r="R4" s="42"/>
    </row>
    <row r="5" spans="1:24">
      <c r="A5" s="105">
        <v>11</v>
      </c>
      <c r="B5" s="148">
        <f t="shared" si="1"/>
        <v>11</v>
      </c>
      <c r="C5" s="106" t="s">
        <v>450</v>
      </c>
      <c r="D5" s="107">
        <v>265356404</v>
      </c>
      <c r="E5" s="146">
        <f>'Student Enrollment Data'!CK7</f>
        <v>147</v>
      </c>
      <c r="F5" s="104">
        <f t="shared" si="0"/>
        <v>1805145.6054421768</v>
      </c>
      <c r="G5" s="145">
        <f t="shared" si="2"/>
        <v>3.1858749137799425</v>
      </c>
      <c r="H5">
        <f t="shared" si="3"/>
        <v>0</v>
      </c>
      <c r="I5">
        <f>IF(H5&gt;'Front page'!$E$21,'Front page'!$E$21,H5)+1</f>
        <v>1</v>
      </c>
      <c r="J5" s="37">
        <f t="shared" si="4"/>
        <v>1</v>
      </c>
      <c r="K5">
        <v>11</v>
      </c>
      <c r="L5" t="s">
        <v>15</v>
      </c>
      <c r="M5">
        <f t="shared" si="5"/>
        <v>1</v>
      </c>
      <c r="O5" s="86">
        <f t="shared" ref="O5" si="6">IF(H5=1,0,IF(H5&lt;0.1,0.1,H5*-1))</f>
        <v>0.1</v>
      </c>
      <c r="P5" s="86">
        <f t="shared" ref="P5:P68" si="7">IF(O5&gt;10%,10%,O5)</f>
        <v>0.1</v>
      </c>
      <c r="R5" s="188" t="s">
        <v>592</v>
      </c>
    </row>
    <row r="6" spans="1:24">
      <c r="A6" s="105">
        <v>13</v>
      </c>
      <c r="B6" s="148">
        <f t="shared" si="1"/>
        <v>13</v>
      </c>
      <c r="C6" s="109" t="s">
        <v>451</v>
      </c>
      <c r="D6" s="107">
        <v>190715316</v>
      </c>
      <c r="E6" s="146">
        <f>'Student Enrollment Data'!CK8</f>
        <v>272</v>
      </c>
      <c r="F6" s="104">
        <f t="shared" si="0"/>
        <v>701159.25</v>
      </c>
      <c r="G6" s="145">
        <f t="shared" si="2"/>
        <v>1.2374656417771799</v>
      </c>
      <c r="H6">
        <f t="shared" si="3"/>
        <v>0</v>
      </c>
      <c r="I6">
        <f>IF(H6&gt;'Front page'!$E$21,'Front page'!$E$21,H6)+1</f>
        <v>1</v>
      </c>
      <c r="J6" s="37">
        <f t="shared" si="4"/>
        <v>1</v>
      </c>
      <c r="K6">
        <v>13</v>
      </c>
      <c r="L6" t="s">
        <v>16</v>
      </c>
      <c r="M6">
        <f t="shared" si="5"/>
        <v>1</v>
      </c>
      <c r="O6" s="86">
        <f t="shared" ref="O6" si="8">IF(H6=1,0,IF(H6&gt;0.01,0.1,H6*-1))</f>
        <v>0</v>
      </c>
      <c r="P6" s="86">
        <f t="shared" si="7"/>
        <v>0</v>
      </c>
      <c r="R6" s="42"/>
    </row>
    <row r="7" spans="1:24">
      <c r="A7" s="105">
        <v>21</v>
      </c>
      <c r="B7" s="148">
        <f t="shared" si="1"/>
        <v>21</v>
      </c>
      <c r="C7" s="106" t="s">
        <v>452</v>
      </c>
      <c r="D7" s="107">
        <v>718004683</v>
      </c>
      <c r="E7" s="146">
        <f>'Student Enrollment Data'!CK9</f>
        <v>1229</v>
      </c>
      <c r="F7" s="104">
        <f t="shared" si="0"/>
        <v>584218.6192026037</v>
      </c>
      <c r="G7" s="145">
        <f t="shared" si="2"/>
        <v>1.0310788434292606</v>
      </c>
      <c r="H7">
        <f t="shared" si="3"/>
        <v>0</v>
      </c>
      <c r="I7">
        <f>IF(H7&gt;'Front page'!$E$21,'Front page'!$E$21,H7)+1</f>
        <v>1</v>
      </c>
      <c r="J7" s="37">
        <f t="shared" si="4"/>
        <v>1</v>
      </c>
      <c r="K7">
        <v>21</v>
      </c>
      <c r="L7" t="s">
        <v>17</v>
      </c>
      <c r="M7">
        <f t="shared" si="5"/>
        <v>1</v>
      </c>
      <c r="O7" s="86">
        <f t="shared" ref="O7" si="9">IF(H7=1,0,IF(H7&gt;0.01,0.01,H7*-1))</f>
        <v>0</v>
      </c>
      <c r="P7" s="86">
        <f t="shared" si="7"/>
        <v>0</v>
      </c>
      <c r="R7" s="42"/>
    </row>
    <row r="8" spans="1:24">
      <c r="A8" s="105">
        <v>25</v>
      </c>
      <c r="B8" s="148">
        <f t="shared" si="1"/>
        <v>25</v>
      </c>
      <c r="C8" s="109" t="s">
        <v>453</v>
      </c>
      <c r="D8" s="107">
        <v>3572615630</v>
      </c>
      <c r="E8" s="146">
        <f>'Student Enrollment Data'!CK10</f>
        <v>12016.5</v>
      </c>
      <c r="F8" s="104">
        <f t="shared" si="0"/>
        <v>297309.16905921022</v>
      </c>
      <c r="G8" s="145">
        <f t="shared" si="2"/>
        <v>0.52471657714862296</v>
      </c>
      <c r="H8">
        <f t="shared" si="3"/>
        <v>0.47528342285137704</v>
      </c>
      <c r="I8">
        <f>IF(H8&gt;'Front page'!$E$21,'Front page'!$E$21,H8)+1</f>
        <v>1.1000000000000001</v>
      </c>
      <c r="J8" s="37">
        <f t="shared" si="4"/>
        <v>1.1000000000000001</v>
      </c>
      <c r="K8">
        <v>25</v>
      </c>
      <c r="L8" t="s">
        <v>18</v>
      </c>
      <c r="M8">
        <f t="shared" si="5"/>
        <v>1.1000000000000001</v>
      </c>
      <c r="O8" s="86">
        <f t="shared" ref="O8" si="10">IF(H8=1,0,IF(H8&lt;0.1,0.1,H8*-1))</f>
        <v>-0.47528342285137704</v>
      </c>
      <c r="P8" s="86">
        <f t="shared" si="7"/>
        <v>-0.47528342285137704</v>
      </c>
      <c r="R8" t="s">
        <v>442</v>
      </c>
      <c r="S8">
        <v>-6.6666666666666666E-2</v>
      </c>
    </row>
    <row r="9" spans="1:24">
      <c r="A9" s="105">
        <v>33</v>
      </c>
      <c r="B9" s="148">
        <f t="shared" si="1"/>
        <v>33</v>
      </c>
      <c r="C9" s="106" t="s">
        <v>454</v>
      </c>
      <c r="D9" s="107">
        <v>918633332</v>
      </c>
      <c r="E9" s="146">
        <f>'Student Enrollment Data'!CK11</f>
        <v>1127.5</v>
      </c>
      <c r="F9" s="104">
        <f t="shared" si="0"/>
        <v>814752.40088691795</v>
      </c>
      <c r="G9" s="145">
        <f t="shared" si="2"/>
        <v>1.4379445220939866</v>
      </c>
      <c r="H9">
        <f t="shared" si="3"/>
        <v>0</v>
      </c>
      <c r="I9">
        <f>IF(H9&gt;'Front page'!$E$21,'Front page'!$E$21,H9)+1</f>
        <v>1</v>
      </c>
      <c r="J9" s="37">
        <f t="shared" si="4"/>
        <v>1</v>
      </c>
      <c r="K9">
        <v>33</v>
      </c>
      <c r="L9" t="s">
        <v>19</v>
      </c>
      <c r="M9">
        <f t="shared" si="5"/>
        <v>1</v>
      </c>
      <c r="O9" s="86">
        <f t="shared" ref="O9" si="11">IF(H9=1,0,IF(H9&gt;0.01,0.1,H9*-1))</f>
        <v>0</v>
      </c>
      <c r="P9" s="86">
        <f t="shared" si="7"/>
        <v>0</v>
      </c>
      <c r="R9" t="s">
        <v>443</v>
      </c>
      <c r="S9">
        <v>6.666666666666668E-2</v>
      </c>
    </row>
    <row r="10" spans="1:24">
      <c r="A10" s="105">
        <v>41</v>
      </c>
      <c r="B10" s="148">
        <f t="shared" si="1"/>
        <v>41</v>
      </c>
      <c r="C10" s="106" t="s">
        <v>455</v>
      </c>
      <c r="D10" s="107">
        <v>548989362</v>
      </c>
      <c r="E10" s="146">
        <f>'Student Enrollment Data'!CK12</f>
        <v>940</v>
      </c>
      <c r="F10" s="104">
        <f t="shared" si="0"/>
        <v>584031.23617021274</v>
      </c>
      <c r="G10" s="145">
        <f t="shared" si="2"/>
        <v>1.0307481338729996</v>
      </c>
      <c r="H10">
        <f t="shared" si="3"/>
        <v>0</v>
      </c>
      <c r="I10">
        <f>IF(H10&gt;'Front page'!$E$21,'Front page'!$E$21,H10)+1</f>
        <v>1</v>
      </c>
      <c r="J10" s="37">
        <f t="shared" si="4"/>
        <v>1</v>
      </c>
      <c r="K10">
        <v>41</v>
      </c>
      <c r="L10" t="s">
        <v>20</v>
      </c>
      <c r="M10">
        <f t="shared" si="5"/>
        <v>1</v>
      </c>
      <c r="O10" s="86">
        <f t="shared" ref="O10" si="12">IF(H10=1,0,IF(H10&gt;0.01,0.01,H10*-1))</f>
        <v>0</v>
      </c>
      <c r="P10" s="86">
        <f t="shared" si="7"/>
        <v>0</v>
      </c>
      <c r="R10" s="42"/>
    </row>
    <row r="11" spans="1:24">
      <c r="A11" s="105">
        <v>44</v>
      </c>
      <c r="B11" s="148">
        <f t="shared" si="1"/>
        <v>44</v>
      </c>
      <c r="C11" s="106" t="s">
        <v>456</v>
      </c>
      <c r="D11" s="107">
        <v>597154463</v>
      </c>
      <c r="E11" s="146">
        <f>'Student Enrollment Data'!CK13</f>
        <v>340.5</v>
      </c>
      <c r="F11" s="104">
        <f t="shared" si="0"/>
        <v>1753757.6005873715</v>
      </c>
      <c r="G11" s="145">
        <f t="shared" si="2"/>
        <v>3.0951809802587054</v>
      </c>
      <c r="H11">
        <f t="shared" si="3"/>
        <v>0</v>
      </c>
      <c r="I11">
        <f>IF(H11&gt;'Front page'!$E$21,'Front page'!$E$21,H11)+1</f>
        <v>1</v>
      </c>
      <c r="J11" s="37">
        <f t="shared" si="4"/>
        <v>1</v>
      </c>
      <c r="K11">
        <v>44</v>
      </c>
      <c r="L11" t="s">
        <v>21</v>
      </c>
      <c r="M11">
        <f t="shared" si="5"/>
        <v>1</v>
      </c>
      <c r="O11" s="86">
        <f t="shared" ref="O11" si="13">IF(H11=1,0,IF(H11&lt;0.1,0.1,H11*-1))</f>
        <v>0.1</v>
      </c>
      <c r="P11" s="86">
        <f t="shared" si="7"/>
        <v>0.1</v>
      </c>
      <c r="R11" s="42"/>
    </row>
    <row r="12" spans="1:24">
      <c r="A12" s="105">
        <v>52</v>
      </c>
      <c r="B12" s="148">
        <f t="shared" si="1"/>
        <v>52</v>
      </c>
      <c r="C12" s="110" t="s">
        <v>457</v>
      </c>
      <c r="D12" s="107">
        <v>385521083</v>
      </c>
      <c r="E12" s="146">
        <f>'Student Enrollment Data'!CK14</f>
        <v>1705.5</v>
      </c>
      <c r="F12" s="104">
        <f t="shared" si="0"/>
        <v>226045.78305482262</v>
      </c>
      <c r="G12" s="145">
        <f t="shared" si="2"/>
        <v>0.39894487593076927</v>
      </c>
      <c r="H12">
        <f t="shared" si="3"/>
        <v>0.60105512406923078</v>
      </c>
      <c r="I12">
        <f>IF(H12&gt;'Front page'!$E$21,'Front page'!$E$21,H12)+1</f>
        <v>1.1000000000000001</v>
      </c>
      <c r="J12" s="37">
        <f t="shared" si="4"/>
        <v>1.1000000000000001</v>
      </c>
      <c r="K12">
        <v>52</v>
      </c>
      <c r="L12" t="s">
        <v>22</v>
      </c>
      <c r="M12">
        <f t="shared" si="5"/>
        <v>1.1000000000000001</v>
      </c>
      <c r="O12" s="86">
        <f t="shared" ref="O12" si="14">IF(H12=1,0,IF(H12&gt;0.01,0.1,H12*-1))</f>
        <v>0.1</v>
      </c>
      <c r="P12" s="86">
        <f t="shared" si="7"/>
        <v>0.1</v>
      </c>
      <c r="R12" s="42"/>
      <c r="T12" s="189">
        <f>1-G3</f>
        <v>-3.5149831423977318E-3</v>
      </c>
    </row>
    <row r="13" spans="1:24">
      <c r="A13" s="105">
        <v>55</v>
      </c>
      <c r="B13" s="148">
        <f t="shared" si="1"/>
        <v>55</v>
      </c>
      <c r="C13" s="110" t="s">
        <v>373</v>
      </c>
      <c r="D13" s="107">
        <v>813344958</v>
      </c>
      <c r="E13" s="146">
        <f>'Student Enrollment Data'!CK15</f>
        <v>3646.5</v>
      </c>
      <c r="F13" s="104">
        <f t="shared" si="0"/>
        <v>223048.11682435212</v>
      </c>
      <c r="G13" s="145">
        <f t="shared" si="2"/>
        <v>0.39365433891550072</v>
      </c>
      <c r="H13">
        <f t="shared" si="3"/>
        <v>0.60634566108449928</v>
      </c>
      <c r="I13">
        <f>IF(H13&gt;'Front page'!$E$21,'Front page'!$E$21,H13)+1</f>
        <v>1.1000000000000001</v>
      </c>
      <c r="J13" s="37">
        <f t="shared" si="4"/>
        <v>1.1000000000000001</v>
      </c>
      <c r="K13">
        <v>55</v>
      </c>
      <c r="L13" t="s">
        <v>23</v>
      </c>
      <c r="M13">
        <f t="shared" si="5"/>
        <v>1.1000000000000001</v>
      </c>
      <c r="O13" s="86">
        <f t="shared" ref="O13" si="15">IF(H13=1,0,IF(H13&gt;0.01,0.01,H13*-1))</f>
        <v>0.01</v>
      </c>
      <c r="P13" s="86">
        <f t="shared" si="7"/>
        <v>0.01</v>
      </c>
      <c r="R13" s="42"/>
      <c r="T13">
        <f>T12*S9</f>
        <v>-2.3433220949318215E-4</v>
      </c>
    </row>
    <row r="14" spans="1:24">
      <c r="A14" s="105">
        <v>58</v>
      </c>
      <c r="B14" s="148">
        <f t="shared" si="1"/>
        <v>58</v>
      </c>
      <c r="C14" s="110" t="s">
        <v>458</v>
      </c>
      <c r="D14" s="107">
        <v>224214743</v>
      </c>
      <c r="E14" s="146">
        <f>'Student Enrollment Data'!CK16</f>
        <v>702</v>
      </c>
      <c r="F14" s="104">
        <f t="shared" si="0"/>
        <v>319394.22079772077</v>
      </c>
      <c r="G14" s="145">
        <f t="shared" si="2"/>
        <v>0.56369415994921812</v>
      </c>
      <c r="H14">
        <f t="shared" si="3"/>
        <v>0.43630584005078188</v>
      </c>
      <c r="I14">
        <f>IF(H14&gt;'Front page'!$E$21,'Front page'!$E$21,H14)+1</f>
        <v>1.1000000000000001</v>
      </c>
      <c r="J14" s="37">
        <f t="shared" si="4"/>
        <v>1.1000000000000001</v>
      </c>
      <c r="K14">
        <v>58</v>
      </c>
      <c r="L14" t="s">
        <v>24</v>
      </c>
      <c r="M14">
        <f t="shared" si="5"/>
        <v>1.1000000000000001</v>
      </c>
      <c r="O14" s="86">
        <f t="shared" ref="O14" si="16">IF(H14=1,0,IF(H14&lt;0.1,0.1,H14*-1))</f>
        <v>-0.43630584005078188</v>
      </c>
      <c r="P14" s="86">
        <f t="shared" si="7"/>
        <v>-0.43630584005078188</v>
      </c>
      <c r="R14" s="42"/>
      <c r="T14">
        <f>T13-S8</f>
        <v>6.6432334457173489E-2</v>
      </c>
    </row>
    <row r="15" spans="1:24">
      <c r="A15" s="105">
        <v>59</v>
      </c>
      <c r="B15" s="148">
        <f t="shared" si="1"/>
        <v>59</v>
      </c>
      <c r="C15" s="110" t="s">
        <v>459</v>
      </c>
      <c r="D15" s="107">
        <v>207505138</v>
      </c>
      <c r="E15" s="146">
        <f>'Student Enrollment Data'!CK17</f>
        <v>811</v>
      </c>
      <c r="F15" s="104">
        <f t="shared" si="0"/>
        <v>255863.30209617756</v>
      </c>
      <c r="G15" s="145">
        <f t="shared" si="2"/>
        <v>0.4515693764799863</v>
      </c>
      <c r="H15">
        <f t="shared" si="3"/>
        <v>0.5484306235200137</v>
      </c>
      <c r="I15">
        <f>IF(H15&gt;'Front page'!$E$21,'Front page'!$E$21,H15)+1</f>
        <v>1.1000000000000001</v>
      </c>
      <c r="J15" s="37">
        <f t="shared" si="4"/>
        <v>1.1000000000000001</v>
      </c>
      <c r="K15">
        <v>59</v>
      </c>
      <c r="L15" t="s">
        <v>25</v>
      </c>
      <c r="M15">
        <f t="shared" si="5"/>
        <v>1.1000000000000001</v>
      </c>
      <c r="O15" s="86">
        <f t="shared" ref="O15" si="17">IF(H15=1,0,IF(H15&gt;0.01,0.1,H15*-1))</f>
        <v>0.1</v>
      </c>
      <c r="P15" s="86">
        <f t="shared" si="7"/>
        <v>0.1</v>
      </c>
      <c r="R15" s="42"/>
    </row>
    <row r="16" spans="1:24" ht="15" customHeight="1">
      <c r="A16" s="105">
        <v>60</v>
      </c>
      <c r="B16" s="148">
        <f t="shared" si="1"/>
        <v>60</v>
      </c>
      <c r="C16" s="106" t="s">
        <v>460</v>
      </c>
      <c r="D16" s="107">
        <v>558108455</v>
      </c>
      <c r="E16" s="146">
        <f>'Student Enrollment Data'!CK18</f>
        <v>2241</v>
      </c>
      <c r="F16" s="104">
        <f t="shared" si="0"/>
        <v>249044.37974118697</v>
      </c>
      <c r="G16" s="145">
        <f t="shared" si="2"/>
        <v>0.4395347607657285</v>
      </c>
      <c r="H16">
        <f t="shared" si="3"/>
        <v>0.5604652392342715</v>
      </c>
      <c r="I16">
        <f>IF(H16&gt;'Front page'!$E$21,'Front page'!$E$21,H16)+1</f>
        <v>1.1000000000000001</v>
      </c>
      <c r="J16" s="37">
        <f t="shared" si="4"/>
        <v>1.1000000000000001</v>
      </c>
      <c r="K16">
        <v>60</v>
      </c>
      <c r="L16" t="s">
        <v>26</v>
      </c>
      <c r="M16">
        <f t="shared" si="5"/>
        <v>1.1000000000000001</v>
      </c>
      <c r="O16" s="86">
        <f t="shared" ref="O16" si="18">IF(H16=1,0,IF(H16&gt;0.01,0.01,H16*-1))</f>
        <v>0.01</v>
      </c>
      <c r="P16" s="86">
        <f t="shared" si="7"/>
        <v>0.01</v>
      </c>
      <c r="R16" s="42"/>
      <c r="S16" s="336" t="s">
        <v>604</v>
      </c>
      <c r="T16" s="336"/>
      <c r="U16" s="336"/>
      <c r="V16" s="336"/>
      <c r="W16" s="336"/>
      <c r="X16" s="336"/>
    </row>
    <row r="17" spans="1:24" ht="15" customHeight="1">
      <c r="A17" s="105">
        <v>61</v>
      </c>
      <c r="B17" s="148">
        <f t="shared" si="1"/>
        <v>61</v>
      </c>
      <c r="C17" s="106" t="s">
        <v>375</v>
      </c>
      <c r="D17" s="107">
        <v>9959912468</v>
      </c>
      <c r="E17" s="146">
        <f>'Student Enrollment Data'!CK19</f>
        <v>3258.5</v>
      </c>
      <c r="F17" s="104">
        <f t="shared" si="0"/>
        <v>3056594.2820316097</v>
      </c>
      <c r="G17" s="145">
        <f t="shared" si="2"/>
        <v>5.3945382662593468</v>
      </c>
      <c r="H17">
        <f t="shared" si="3"/>
        <v>0</v>
      </c>
      <c r="I17">
        <f>IF(H17&gt;'Front page'!$E$21,'Front page'!$E$21,H17)+1</f>
        <v>1</v>
      </c>
      <c r="J17" s="37">
        <f t="shared" si="4"/>
        <v>1</v>
      </c>
      <c r="K17">
        <v>61</v>
      </c>
      <c r="L17" t="s">
        <v>27</v>
      </c>
      <c r="M17">
        <f t="shared" si="5"/>
        <v>1</v>
      </c>
      <c r="O17" s="86">
        <f t="shared" ref="O17" si="19">IF(H17=1,0,IF(H17&lt;0.1,0.1,H17*-1))</f>
        <v>0.1</v>
      </c>
      <c r="P17" s="86">
        <f t="shared" si="7"/>
        <v>0.1</v>
      </c>
      <c r="R17" s="42"/>
      <c r="S17" s="336"/>
      <c r="T17" s="336"/>
      <c r="U17" s="336"/>
      <c r="V17" s="336"/>
      <c r="W17" s="336"/>
      <c r="X17" s="336"/>
    </row>
    <row r="18" spans="1:24" ht="15" customHeight="1">
      <c r="A18" s="105">
        <v>71</v>
      </c>
      <c r="B18" s="148">
        <f t="shared" si="1"/>
        <v>71</v>
      </c>
      <c r="C18" s="109" t="s">
        <v>378</v>
      </c>
      <c r="D18" s="107">
        <v>480492753</v>
      </c>
      <c r="E18" s="146">
        <f>'Student Enrollment Data'!CK20</f>
        <v>239</v>
      </c>
      <c r="F18" s="104">
        <f t="shared" si="0"/>
        <v>2010429.9288702928</v>
      </c>
      <c r="G18" s="145">
        <f t="shared" si="2"/>
        <v>3.5481781951497138</v>
      </c>
      <c r="H18">
        <f t="shared" si="3"/>
        <v>0</v>
      </c>
      <c r="I18">
        <f>IF(H18&gt;'Front page'!$E$21,'Front page'!$E$21,H18)+1</f>
        <v>1</v>
      </c>
      <c r="J18" s="37">
        <f t="shared" si="4"/>
        <v>1</v>
      </c>
      <c r="K18">
        <v>71</v>
      </c>
      <c r="L18" t="s">
        <v>28</v>
      </c>
      <c r="M18">
        <f t="shared" si="5"/>
        <v>1</v>
      </c>
      <c r="O18" s="86">
        <f t="shared" ref="O18" si="20">IF(H18=1,0,IF(H18&gt;0.01,0.1,H18*-1))</f>
        <v>0</v>
      </c>
      <c r="P18" s="86">
        <f t="shared" si="7"/>
        <v>0</v>
      </c>
      <c r="R18" s="42"/>
      <c r="S18" s="336"/>
      <c r="T18" s="336"/>
      <c r="U18" s="336"/>
      <c r="V18" s="336"/>
      <c r="W18" s="336"/>
      <c r="X18" s="336"/>
    </row>
    <row r="19" spans="1:24" ht="15" customHeight="1">
      <c r="A19" s="105">
        <v>72</v>
      </c>
      <c r="B19" s="148">
        <f t="shared" si="1"/>
        <v>72</v>
      </c>
      <c r="C19" s="109" t="s">
        <v>461</v>
      </c>
      <c r="D19" s="107">
        <v>379825454</v>
      </c>
      <c r="E19" s="146">
        <f>'Student Enrollment Data'!CK21</f>
        <v>327.5</v>
      </c>
      <c r="F19" s="104">
        <f t="shared" si="0"/>
        <v>1159772.3786259543</v>
      </c>
      <c r="G19" s="145">
        <f t="shared" si="2"/>
        <v>2.0468652033497565</v>
      </c>
      <c r="H19">
        <f t="shared" si="3"/>
        <v>0</v>
      </c>
      <c r="I19">
        <f>IF(H19&gt;'Front page'!$E$21,'Front page'!$E$21,H19)+1</f>
        <v>1</v>
      </c>
      <c r="J19" s="37">
        <f t="shared" si="4"/>
        <v>1</v>
      </c>
      <c r="K19">
        <v>72</v>
      </c>
      <c r="L19" t="s">
        <v>29</v>
      </c>
      <c r="M19">
        <f t="shared" si="5"/>
        <v>1</v>
      </c>
      <c r="O19" s="86">
        <f t="shared" ref="O19" si="21">IF(H19=1,0,IF(H19&gt;0.01,0.01,H19*-1))</f>
        <v>0</v>
      </c>
      <c r="P19" s="86">
        <f t="shared" si="7"/>
        <v>0</v>
      </c>
      <c r="R19" s="42"/>
      <c r="S19" s="336"/>
      <c r="T19" s="336"/>
      <c r="U19" s="336"/>
      <c r="V19" s="336"/>
      <c r="W19" s="336"/>
      <c r="X19" s="336"/>
    </row>
    <row r="20" spans="1:24" ht="15" customHeight="1">
      <c r="A20" s="105">
        <v>73</v>
      </c>
      <c r="B20" s="148">
        <f t="shared" si="1"/>
        <v>73</v>
      </c>
      <c r="C20" s="109" t="s">
        <v>462</v>
      </c>
      <c r="D20" s="107">
        <v>151478370</v>
      </c>
      <c r="E20" s="146">
        <f>'Student Enrollment Data'!CK22</f>
        <v>220</v>
      </c>
      <c r="F20" s="104">
        <f t="shared" si="0"/>
        <v>688538.04545454541</v>
      </c>
      <c r="G20" s="145">
        <f t="shared" si="2"/>
        <v>1.2151906636137426</v>
      </c>
      <c r="H20">
        <f t="shared" si="3"/>
        <v>0</v>
      </c>
      <c r="I20">
        <f>IF(H20&gt;'Front page'!$E$21,'Front page'!$E$21,H20)+1</f>
        <v>1</v>
      </c>
      <c r="J20" s="37">
        <f t="shared" si="4"/>
        <v>1</v>
      </c>
      <c r="K20">
        <v>73</v>
      </c>
      <c r="L20" t="s">
        <v>30</v>
      </c>
      <c r="M20">
        <f t="shared" si="5"/>
        <v>1</v>
      </c>
      <c r="O20" s="86">
        <f t="shared" ref="O20" si="22">IF(H20=1,0,IF(H20&lt;0.1,0.1,H20*-1))</f>
        <v>0.1</v>
      </c>
      <c r="P20" s="86">
        <f t="shared" si="7"/>
        <v>0.1</v>
      </c>
      <c r="R20" s="42"/>
      <c r="S20" s="336"/>
      <c r="T20" s="336"/>
      <c r="U20" s="336"/>
      <c r="V20" s="336"/>
      <c r="W20" s="336"/>
      <c r="X20" s="336"/>
    </row>
    <row r="21" spans="1:24" ht="15" customHeight="1">
      <c r="A21" s="105">
        <v>83</v>
      </c>
      <c r="B21" s="148">
        <f t="shared" si="1"/>
        <v>83</v>
      </c>
      <c r="C21" s="109" t="s">
        <v>463</v>
      </c>
      <c r="D21" s="107">
        <v>2031299805</v>
      </c>
      <c r="E21" s="146">
        <f>'Student Enrollment Data'!CK23</f>
        <v>939</v>
      </c>
      <c r="F21" s="104">
        <f t="shared" si="0"/>
        <v>2163258.5782747604</v>
      </c>
      <c r="G21" s="145">
        <f t="shared" si="2"/>
        <v>3.8179032293944148</v>
      </c>
      <c r="H21">
        <f t="shared" si="3"/>
        <v>0</v>
      </c>
      <c r="I21">
        <f>IF(H21&gt;'Front page'!$E$21,'Front page'!$E$21,H21)+1</f>
        <v>1</v>
      </c>
      <c r="J21" s="37">
        <f t="shared" si="4"/>
        <v>1</v>
      </c>
      <c r="K21">
        <v>83</v>
      </c>
      <c r="L21" t="s">
        <v>31</v>
      </c>
      <c r="M21">
        <f t="shared" si="5"/>
        <v>1</v>
      </c>
      <c r="O21" s="86">
        <f t="shared" ref="O21" si="23">IF(H21=1,0,IF(H21&gt;0.01,0.1,H21*-1))</f>
        <v>0</v>
      </c>
      <c r="P21" s="86">
        <f t="shared" si="7"/>
        <v>0</v>
      </c>
      <c r="R21" s="42"/>
      <c r="S21" s="336"/>
      <c r="T21" s="336"/>
      <c r="U21" s="336"/>
      <c r="V21" s="336"/>
      <c r="W21" s="336"/>
      <c r="X21" s="336"/>
    </row>
    <row r="22" spans="1:24" ht="15" customHeight="1">
      <c r="A22" s="105">
        <v>84</v>
      </c>
      <c r="B22" s="148">
        <f t="shared" si="1"/>
        <v>84</v>
      </c>
      <c r="C22" s="109" t="s">
        <v>382</v>
      </c>
      <c r="D22" s="107">
        <v>5028676031</v>
      </c>
      <c r="E22" s="146">
        <f>'Student Enrollment Data'!CK24</f>
        <v>3672</v>
      </c>
      <c r="F22" s="104">
        <f t="shared" si="0"/>
        <v>1369465.1500544662</v>
      </c>
      <c r="G22" s="145">
        <f t="shared" si="2"/>
        <v>2.4169488897188933</v>
      </c>
      <c r="H22">
        <f t="shared" si="3"/>
        <v>0</v>
      </c>
      <c r="I22">
        <f>IF(H22&gt;'Front page'!$E$21,'Front page'!$E$21,H22)+1</f>
        <v>1</v>
      </c>
      <c r="J22" s="37">
        <f t="shared" si="4"/>
        <v>1</v>
      </c>
      <c r="K22">
        <v>84</v>
      </c>
      <c r="L22" t="s">
        <v>32</v>
      </c>
      <c r="M22">
        <f t="shared" si="5"/>
        <v>1</v>
      </c>
      <c r="O22" s="86">
        <f t="shared" ref="O22" si="24">IF(H22=1,0,IF(H22&gt;0.01,0.01,H22*-1))</f>
        <v>0</v>
      </c>
      <c r="P22" s="86">
        <f t="shared" si="7"/>
        <v>0</v>
      </c>
      <c r="R22" s="42"/>
      <c r="S22" s="336"/>
      <c r="T22" s="336"/>
      <c r="U22" s="336"/>
      <c r="V22" s="336"/>
      <c r="W22" s="336"/>
      <c r="X22" s="336"/>
    </row>
    <row r="23" spans="1:24" ht="15" customHeight="1">
      <c r="A23" s="105">
        <v>91</v>
      </c>
      <c r="B23" s="148">
        <f t="shared" si="1"/>
        <v>91</v>
      </c>
      <c r="C23" s="109" t="s">
        <v>464</v>
      </c>
      <c r="D23" s="107">
        <v>3472106033</v>
      </c>
      <c r="E23" s="146">
        <f>'Student Enrollment Data'!CK25</f>
        <v>9763.5</v>
      </c>
      <c r="F23" s="104">
        <f t="shared" si="0"/>
        <v>355621.04091770371</v>
      </c>
      <c r="G23" s="145">
        <f t="shared" si="2"/>
        <v>0.62763034165019571</v>
      </c>
      <c r="H23">
        <f t="shared" si="3"/>
        <v>0.37236965834980429</v>
      </c>
      <c r="I23">
        <f>IF(H23&gt;'Front page'!$E$21,'Front page'!$E$21,H23)+1</f>
        <v>1.1000000000000001</v>
      </c>
      <c r="J23" s="37">
        <f t="shared" si="4"/>
        <v>1.1000000000000001</v>
      </c>
      <c r="K23">
        <v>91</v>
      </c>
      <c r="L23" t="s">
        <v>33</v>
      </c>
      <c r="M23">
        <f t="shared" si="5"/>
        <v>1.1000000000000001</v>
      </c>
      <c r="O23" s="86">
        <f t="shared" ref="O23" si="25">IF(H23=1,0,IF(H23&lt;0.1,0.1,H23*-1))</f>
        <v>-0.37236965834980429</v>
      </c>
      <c r="P23" s="86">
        <f t="shared" si="7"/>
        <v>-0.37236965834980429</v>
      </c>
      <c r="R23" s="42"/>
      <c r="S23" s="336"/>
      <c r="T23" s="336"/>
      <c r="U23" s="336"/>
      <c r="V23" s="336"/>
      <c r="W23" s="336"/>
      <c r="X23" s="336"/>
    </row>
    <row r="24" spans="1:24" ht="15" customHeight="1">
      <c r="A24" s="105">
        <v>92</v>
      </c>
      <c r="B24" s="148">
        <f t="shared" si="1"/>
        <v>92</v>
      </c>
      <c r="C24" s="106" t="s">
        <v>465</v>
      </c>
      <c r="D24" s="107">
        <v>220412847</v>
      </c>
      <c r="E24" s="146">
        <f>'Student Enrollment Data'!CK26</f>
        <v>40.5</v>
      </c>
      <c r="F24" s="104">
        <f t="shared" si="0"/>
        <v>5442292.5185185187</v>
      </c>
      <c r="G24" s="145">
        <f t="shared" si="2"/>
        <v>9.6050219749189125</v>
      </c>
      <c r="H24">
        <f t="shared" si="3"/>
        <v>0</v>
      </c>
      <c r="I24">
        <f>IF(H24&gt;'Front page'!$E$21,'Front page'!$E$21,H24)+1</f>
        <v>1</v>
      </c>
      <c r="J24" s="37">
        <f t="shared" si="4"/>
        <v>1</v>
      </c>
      <c r="K24">
        <v>92</v>
      </c>
      <c r="L24" t="s">
        <v>34</v>
      </c>
      <c r="M24">
        <f t="shared" si="5"/>
        <v>1</v>
      </c>
      <c r="O24" s="86">
        <f t="shared" ref="O24" si="26">IF(H24=1,0,IF(H24&gt;0.01,0.1,H24*-1))</f>
        <v>0</v>
      </c>
      <c r="P24" s="86">
        <f t="shared" si="7"/>
        <v>0</v>
      </c>
      <c r="R24" s="42"/>
      <c r="S24" s="336"/>
      <c r="T24" s="336"/>
      <c r="U24" s="336"/>
      <c r="V24" s="336"/>
      <c r="W24" s="336"/>
      <c r="X24" s="336"/>
    </row>
    <row r="25" spans="1:24" ht="15" customHeight="1">
      <c r="A25" s="105">
        <v>93</v>
      </c>
      <c r="B25" s="148">
        <f t="shared" si="1"/>
        <v>93</v>
      </c>
      <c r="C25" s="106" t="s">
        <v>466</v>
      </c>
      <c r="D25" s="107">
        <v>3008936382</v>
      </c>
      <c r="E25" s="146">
        <f>'Student Enrollment Data'!CK27</f>
        <v>12337.5</v>
      </c>
      <c r="F25" s="104">
        <f t="shared" si="0"/>
        <v>243885.42103343466</v>
      </c>
      <c r="G25" s="145">
        <f t="shared" si="2"/>
        <v>0.430429790463774</v>
      </c>
      <c r="H25">
        <f t="shared" si="3"/>
        <v>0.56957020953622606</v>
      </c>
      <c r="I25">
        <f>IF(H25&gt;'Front page'!$E$21,'Front page'!$E$21,H25)+1</f>
        <v>1.1000000000000001</v>
      </c>
      <c r="J25" s="37">
        <f t="shared" si="4"/>
        <v>1.1000000000000001</v>
      </c>
      <c r="K25">
        <v>93</v>
      </c>
      <c r="L25" t="s">
        <v>35</v>
      </c>
      <c r="M25">
        <f t="shared" si="5"/>
        <v>1.1000000000000001</v>
      </c>
      <c r="O25" s="86">
        <f t="shared" ref="O25" si="27">IF(H25=1,0,IF(H25&gt;0.01,0.01,H25*-1))</f>
        <v>0.01</v>
      </c>
      <c r="P25" s="86">
        <f t="shared" si="7"/>
        <v>0.01</v>
      </c>
      <c r="R25" s="42"/>
      <c r="S25" s="336"/>
      <c r="T25" s="336"/>
      <c r="U25" s="336"/>
      <c r="V25" s="336"/>
      <c r="W25" s="336"/>
      <c r="X25" s="336"/>
    </row>
    <row r="26" spans="1:24" ht="15" customHeight="1">
      <c r="A26" s="105">
        <v>101</v>
      </c>
      <c r="B26" s="148">
        <f t="shared" si="1"/>
        <v>101</v>
      </c>
      <c r="C26" s="109" t="s">
        <v>385</v>
      </c>
      <c r="D26" s="107">
        <v>958944100</v>
      </c>
      <c r="E26" s="146">
        <f>'Student Enrollment Data'!CK28</f>
        <v>1361.5</v>
      </c>
      <c r="F26" s="104">
        <f t="shared" si="0"/>
        <v>704329.1222915902</v>
      </c>
      <c r="G26" s="145">
        <f t="shared" si="2"/>
        <v>1.2430601027354633</v>
      </c>
      <c r="H26">
        <f t="shared" si="3"/>
        <v>0</v>
      </c>
      <c r="I26">
        <f>IF(H26&gt;'Front page'!$E$21,'Front page'!$E$21,H26)+1</f>
        <v>1</v>
      </c>
      <c r="J26" s="37">
        <f t="shared" si="4"/>
        <v>1</v>
      </c>
      <c r="K26">
        <v>101</v>
      </c>
      <c r="L26" t="s">
        <v>36</v>
      </c>
      <c r="M26">
        <f t="shared" si="5"/>
        <v>1</v>
      </c>
      <c r="O26" s="86">
        <f t="shared" ref="O26" si="28">IF(H26=1,0,IF(H26&lt;0.1,0.1,H26*-1))</f>
        <v>0.1</v>
      </c>
      <c r="P26" s="86">
        <f t="shared" si="7"/>
        <v>0.1</v>
      </c>
      <c r="R26" s="42"/>
      <c r="S26" s="336"/>
      <c r="T26" s="336"/>
      <c r="U26" s="336"/>
      <c r="V26" s="336"/>
      <c r="W26" s="336"/>
      <c r="X26" s="336"/>
    </row>
    <row r="27" spans="1:24" ht="15" customHeight="1">
      <c r="A27" s="105">
        <v>111</v>
      </c>
      <c r="B27" s="148">
        <f t="shared" si="1"/>
        <v>111</v>
      </c>
      <c r="C27" s="110" t="s">
        <v>387</v>
      </c>
      <c r="D27" s="107">
        <v>175544573</v>
      </c>
      <c r="E27" s="146">
        <f>'Student Enrollment Data'!CK29</f>
        <v>402</v>
      </c>
      <c r="F27" s="104">
        <f t="shared" si="0"/>
        <v>436678.04228855722</v>
      </c>
      <c r="G27" s="145">
        <f t="shared" si="2"/>
        <v>0.77068665050145446</v>
      </c>
      <c r="H27">
        <f t="shared" si="3"/>
        <v>0.22931334949854554</v>
      </c>
      <c r="I27">
        <f>IF(H27&gt;'Front page'!$E$21,'Front page'!$E$21,H27)+1</f>
        <v>1.1000000000000001</v>
      </c>
      <c r="J27" s="37">
        <f t="shared" si="4"/>
        <v>1.1000000000000001</v>
      </c>
      <c r="K27">
        <v>111</v>
      </c>
      <c r="L27" t="s">
        <v>37</v>
      </c>
      <c r="M27">
        <f t="shared" si="5"/>
        <v>1.1000000000000001</v>
      </c>
      <c r="O27" s="86">
        <f t="shared" ref="O27" si="29">IF(H27=1,0,IF(H27&gt;0.01,0.1,H27*-1))</f>
        <v>0.1</v>
      </c>
      <c r="P27" s="86">
        <f t="shared" si="7"/>
        <v>0.1</v>
      </c>
      <c r="R27" s="42"/>
      <c r="S27" s="336"/>
      <c r="T27" s="336"/>
      <c r="U27" s="336"/>
      <c r="V27" s="336"/>
      <c r="W27" s="336"/>
      <c r="X27" s="336"/>
    </row>
    <row r="28" spans="1:24" ht="15" customHeight="1">
      <c r="A28" s="105">
        <v>121</v>
      </c>
      <c r="B28" s="148">
        <f t="shared" si="1"/>
        <v>121</v>
      </c>
      <c r="C28" s="109" t="s">
        <v>467</v>
      </c>
      <c r="D28" s="107">
        <v>159508789</v>
      </c>
      <c r="E28" s="146">
        <f>'Student Enrollment Data'!CK30</f>
        <v>165.5</v>
      </c>
      <c r="F28" s="104">
        <f t="shared" si="0"/>
        <v>963799.32930513599</v>
      </c>
      <c r="G28" s="145">
        <f t="shared" si="2"/>
        <v>1.7009952526234171</v>
      </c>
      <c r="H28">
        <f t="shared" si="3"/>
        <v>0</v>
      </c>
      <c r="I28">
        <f>IF(H28&gt;'Front page'!$E$21,'Front page'!$E$21,H28)+1</f>
        <v>1</v>
      </c>
      <c r="J28" s="37">
        <f t="shared" si="4"/>
        <v>1</v>
      </c>
      <c r="K28">
        <v>121</v>
      </c>
      <c r="L28" t="s">
        <v>38</v>
      </c>
      <c r="M28">
        <f t="shared" si="5"/>
        <v>1</v>
      </c>
      <c r="O28" s="86">
        <f t="shared" ref="O28" si="30">IF(H28=1,0,IF(H28&gt;0.01,0.01,H28*-1))</f>
        <v>0</v>
      </c>
      <c r="P28" s="86">
        <f t="shared" si="7"/>
        <v>0</v>
      </c>
      <c r="R28" s="42"/>
      <c r="S28" s="336"/>
      <c r="T28" s="336"/>
      <c r="U28" s="336"/>
      <c r="V28" s="336"/>
      <c r="W28" s="336"/>
      <c r="X28" s="336"/>
    </row>
    <row r="29" spans="1:24">
      <c r="A29" s="105">
        <v>131</v>
      </c>
      <c r="B29" s="148">
        <f t="shared" si="1"/>
        <v>131</v>
      </c>
      <c r="C29" s="109" t="s">
        <v>468</v>
      </c>
      <c r="D29" s="107">
        <v>5431800154</v>
      </c>
      <c r="E29" s="146">
        <f>'Student Enrollment Data'!CK31</f>
        <v>13365.5</v>
      </c>
      <c r="F29" s="104">
        <f t="shared" si="0"/>
        <v>406404.56054767873</v>
      </c>
      <c r="G29" s="145">
        <f t="shared" si="2"/>
        <v>0.71725742809398296</v>
      </c>
      <c r="H29">
        <f t="shared" si="3"/>
        <v>0.28274257190601704</v>
      </c>
      <c r="I29">
        <f>IF(H29&gt;'Front page'!$E$21,'Front page'!$E$21,H29)+1</f>
        <v>1.1000000000000001</v>
      </c>
      <c r="J29" s="37">
        <f t="shared" si="4"/>
        <v>1.1000000000000001</v>
      </c>
      <c r="K29">
        <v>131</v>
      </c>
      <c r="L29" t="s">
        <v>39</v>
      </c>
      <c r="M29">
        <f t="shared" si="5"/>
        <v>1.1000000000000001</v>
      </c>
      <c r="O29" s="86">
        <f t="shared" ref="O29" si="31">IF(H29=1,0,IF(H29&lt;0.1,0.1,H29*-1))</f>
        <v>-0.28274257190601704</v>
      </c>
      <c r="P29" s="86">
        <f t="shared" si="7"/>
        <v>-0.28274257190601704</v>
      </c>
      <c r="R29" s="42"/>
      <c r="S29" s="336"/>
      <c r="T29" s="336"/>
      <c r="U29" s="336"/>
      <c r="V29" s="336"/>
      <c r="W29" s="336"/>
      <c r="X29" s="336"/>
    </row>
    <row r="30" spans="1:24">
      <c r="A30" s="105">
        <v>132</v>
      </c>
      <c r="B30" s="148">
        <f t="shared" si="1"/>
        <v>132</v>
      </c>
      <c r="C30" s="109" t="s">
        <v>469</v>
      </c>
      <c r="D30" s="107">
        <v>1905333173</v>
      </c>
      <c r="E30" s="146">
        <f>'Student Enrollment Data'!CK32</f>
        <v>6083</v>
      </c>
      <c r="F30" s="104">
        <f t="shared" si="0"/>
        <v>313222.61597895774</v>
      </c>
      <c r="G30" s="145">
        <f t="shared" si="2"/>
        <v>0.55280198542845738</v>
      </c>
      <c r="H30">
        <f t="shared" si="3"/>
        <v>0.44719801457154262</v>
      </c>
      <c r="I30">
        <f>IF(H30&gt;'Front page'!$E$21,'Front page'!$E$21,H30)+1</f>
        <v>1.1000000000000001</v>
      </c>
      <c r="J30" s="37">
        <f t="shared" si="4"/>
        <v>1.1000000000000001</v>
      </c>
      <c r="K30">
        <v>132</v>
      </c>
      <c r="L30" t="s">
        <v>40</v>
      </c>
      <c r="M30">
        <f t="shared" si="5"/>
        <v>1.1000000000000001</v>
      </c>
      <c r="O30" s="86">
        <f t="shared" ref="O30" si="32">IF(H30=1,0,IF(H30&gt;0.01,0.1,H30*-1))</f>
        <v>0.1</v>
      </c>
      <c r="P30" s="86">
        <f t="shared" si="7"/>
        <v>0.1</v>
      </c>
      <c r="R30" s="42"/>
      <c r="S30" s="336"/>
      <c r="T30" s="336"/>
      <c r="U30" s="336"/>
      <c r="V30" s="336"/>
      <c r="W30" s="336"/>
      <c r="X30" s="336"/>
    </row>
    <row r="31" spans="1:24">
      <c r="A31" s="105">
        <v>133</v>
      </c>
      <c r="B31" s="148">
        <f t="shared" si="1"/>
        <v>133</v>
      </c>
      <c r="C31" s="109" t="s">
        <v>470</v>
      </c>
      <c r="D31" s="107">
        <v>248079571</v>
      </c>
      <c r="E31" s="146">
        <f>'Student Enrollment Data'!CK33</f>
        <v>499.5</v>
      </c>
      <c r="F31" s="104">
        <f t="shared" si="0"/>
        <v>496655.79779779777</v>
      </c>
      <c r="G31" s="145">
        <f t="shared" si="2"/>
        <v>0.87654050854240184</v>
      </c>
      <c r="H31">
        <f t="shared" si="3"/>
        <v>0.12345949145759816</v>
      </c>
      <c r="I31">
        <f>IF(H31&gt;'Front page'!$E$21,'Front page'!$E$21,H31)+1</f>
        <v>1.1000000000000001</v>
      </c>
      <c r="J31" s="37">
        <f t="shared" si="4"/>
        <v>1.1000000000000001</v>
      </c>
      <c r="K31">
        <v>133</v>
      </c>
      <c r="L31" t="s">
        <v>41</v>
      </c>
      <c r="M31">
        <f t="shared" si="5"/>
        <v>1.1000000000000001</v>
      </c>
      <c r="O31" s="86">
        <f t="shared" ref="O31" si="33">IF(H31=1,0,IF(H31&gt;0.01,0.01,H31*-1))</f>
        <v>0.01</v>
      </c>
      <c r="P31" s="86">
        <f t="shared" si="7"/>
        <v>0.01</v>
      </c>
      <c r="R31" s="42"/>
      <c r="S31" s="336"/>
      <c r="T31" s="336"/>
      <c r="U31" s="336"/>
      <c r="V31" s="336"/>
      <c r="W31" s="336"/>
      <c r="X31" s="336"/>
    </row>
    <row r="32" spans="1:24">
      <c r="A32" s="105">
        <v>134</v>
      </c>
      <c r="B32" s="148">
        <f t="shared" si="1"/>
        <v>134</v>
      </c>
      <c r="C32" s="109" t="s">
        <v>471</v>
      </c>
      <c r="D32" s="107">
        <v>1272404749</v>
      </c>
      <c r="E32" s="146">
        <f>'Student Enrollment Data'!CK34</f>
        <v>3922.5</v>
      </c>
      <c r="F32" s="104">
        <f t="shared" si="0"/>
        <v>324386.16927979607</v>
      </c>
      <c r="G32" s="145">
        <f t="shared" si="2"/>
        <v>0.5725043763616664</v>
      </c>
      <c r="H32">
        <f t="shared" si="3"/>
        <v>0.4274956236383336</v>
      </c>
      <c r="I32">
        <f>IF(H32&gt;'Front page'!$E$21,'Front page'!$E$21,H32)+1</f>
        <v>1.1000000000000001</v>
      </c>
      <c r="J32" s="37">
        <f t="shared" si="4"/>
        <v>1.1000000000000001</v>
      </c>
      <c r="K32">
        <v>134</v>
      </c>
      <c r="L32" t="s">
        <v>42</v>
      </c>
      <c r="M32">
        <f t="shared" si="5"/>
        <v>1.1000000000000001</v>
      </c>
      <c r="O32" s="86">
        <f t="shared" ref="O32" si="34">IF(H32=1,0,IF(H32&lt;0.1,0.1,H32*-1))</f>
        <v>-0.4274956236383336</v>
      </c>
      <c r="P32" s="86">
        <f t="shared" si="7"/>
        <v>-0.4274956236383336</v>
      </c>
      <c r="R32" s="42"/>
    </row>
    <row r="33" spans="1:18">
      <c r="A33" s="105">
        <v>135</v>
      </c>
      <c r="B33" s="148">
        <f t="shared" si="1"/>
        <v>135</v>
      </c>
      <c r="C33" s="109" t="s">
        <v>472</v>
      </c>
      <c r="D33" s="107">
        <v>134233981</v>
      </c>
      <c r="E33" s="146">
        <f>'Student Enrollment Data'!CK35</f>
        <v>413.5</v>
      </c>
      <c r="F33" s="104">
        <f t="shared" si="0"/>
        <v>324628.73276904476</v>
      </c>
      <c r="G33" s="145">
        <f t="shared" si="2"/>
        <v>0.57293247309417739</v>
      </c>
      <c r="H33">
        <f t="shared" si="3"/>
        <v>0.42706752690582261</v>
      </c>
      <c r="I33">
        <f>IF(H33&gt;'Front page'!$E$21,'Front page'!$E$21,H33)+1</f>
        <v>1.1000000000000001</v>
      </c>
      <c r="J33" s="37">
        <f t="shared" si="4"/>
        <v>1.1000000000000001</v>
      </c>
      <c r="K33">
        <v>135</v>
      </c>
      <c r="L33" t="s">
        <v>43</v>
      </c>
      <c r="M33">
        <f t="shared" si="5"/>
        <v>1.1000000000000001</v>
      </c>
      <c r="O33" s="86">
        <f t="shared" ref="O33" si="35">IF(H33=1,0,IF(H33&gt;0.01,0.1,H33*-1))</f>
        <v>0.1</v>
      </c>
      <c r="P33" s="86">
        <f t="shared" si="7"/>
        <v>0.1</v>
      </c>
      <c r="R33" s="42"/>
    </row>
    <row r="34" spans="1:18">
      <c r="A34" s="105">
        <v>136</v>
      </c>
      <c r="B34" s="148">
        <f t="shared" si="1"/>
        <v>136</v>
      </c>
      <c r="C34" s="106" t="s">
        <v>473</v>
      </c>
      <c r="D34" s="107">
        <v>285382823</v>
      </c>
      <c r="E34" s="146">
        <f>'Student Enrollment Data'!CK36</f>
        <v>837</v>
      </c>
      <c r="F34" s="104">
        <f t="shared" si="0"/>
        <v>340959.16726403823</v>
      </c>
      <c r="G34" s="145">
        <f t="shared" si="2"/>
        <v>0.60175381660900273</v>
      </c>
      <c r="H34">
        <f t="shared" si="3"/>
        <v>0.39824618339099727</v>
      </c>
      <c r="I34">
        <f>IF(H34&gt;'Front page'!$E$21,'Front page'!$E$21,H34)+1</f>
        <v>1.1000000000000001</v>
      </c>
      <c r="J34" s="37">
        <f t="shared" si="4"/>
        <v>1.1000000000000001</v>
      </c>
      <c r="K34">
        <v>136</v>
      </c>
      <c r="L34" t="s">
        <v>44</v>
      </c>
      <c r="M34">
        <f t="shared" si="5"/>
        <v>1.1000000000000001</v>
      </c>
      <c r="O34" s="86">
        <f t="shared" ref="O34" si="36">IF(H34=1,0,IF(H34&gt;0.01,0.01,H34*-1))</f>
        <v>0.01</v>
      </c>
      <c r="P34" s="86">
        <f t="shared" si="7"/>
        <v>0.01</v>
      </c>
      <c r="R34" s="42"/>
    </row>
    <row r="35" spans="1:18">
      <c r="A35" s="105">
        <v>137</v>
      </c>
      <c r="B35" s="148">
        <f t="shared" si="1"/>
        <v>137</v>
      </c>
      <c r="C35" s="110" t="s">
        <v>474</v>
      </c>
      <c r="D35" s="107">
        <v>386908175</v>
      </c>
      <c r="E35" s="146">
        <f>'Student Enrollment Data'!CK37</f>
        <v>1031</v>
      </c>
      <c r="F35" s="104">
        <f t="shared" si="0"/>
        <v>375274.66052376333</v>
      </c>
      <c r="G35" s="145">
        <f t="shared" si="2"/>
        <v>0.66231672566218314</v>
      </c>
      <c r="H35">
        <f t="shared" si="3"/>
        <v>0.33768327433781686</v>
      </c>
      <c r="I35">
        <f>IF(H35&gt;'Front page'!$E$21,'Front page'!$E$21,H35)+1</f>
        <v>1.1000000000000001</v>
      </c>
      <c r="J35" s="37">
        <f t="shared" si="4"/>
        <v>1.1000000000000001</v>
      </c>
      <c r="K35">
        <v>137</v>
      </c>
      <c r="L35" t="s">
        <v>45</v>
      </c>
      <c r="M35">
        <f t="shared" si="5"/>
        <v>1.1000000000000001</v>
      </c>
      <c r="O35" s="86">
        <f t="shared" ref="O35" si="37">IF(H35=1,0,IF(H35&lt;0.1,0.1,H35*-1))</f>
        <v>-0.33768327433781686</v>
      </c>
      <c r="P35" s="86">
        <f t="shared" si="7"/>
        <v>-0.33768327433781686</v>
      </c>
      <c r="R35" s="42"/>
    </row>
    <row r="36" spans="1:18">
      <c r="A36" s="105">
        <v>139</v>
      </c>
      <c r="B36" s="148">
        <f t="shared" si="1"/>
        <v>139</v>
      </c>
      <c r="C36" s="110" t="s">
        <v>475</v>
      </c>
      <c r="D36" s="107">
        <v>2826031564</v>
      </c>
      <c r="E36" s="146">
        <f>'Student Enrollment Data'!CK38</f>
        <v>8646.5</v>
      </c>
      <c r="F36" s="104">
        <f t="shared" si="0"/>
        <v>326841.09917307581</v>
      </c>
      <c r="G36" s="145">
        <f t="shared" si="2"/>
        <v>0.57683704600255814</v>
      </c>
      <c r="H36">
        <f t="shared" si="3"/>
        <v>0.42316295399744186</v>
      </c>
      <c r="I36">
        <f>IF(H36&gt;'Front page'!$E$21,'Front page'!$E$21,H36)+1</f>
        <v>1.1000000000000001</v>
      </c>
      <c r="J36" s="37">
        <f t="shared" si="4"/>
        <v>1.1000000000000001</v>
      </c>
      <c r="K36">
        <v>139</v>
      </c>
      <c r="L36" t="s">
        <v>46</v>
      </c>
      <c r="M36">
        <f t="shared" si="5"/>
        <v>1.1000000000000001</v>
      </c>
      <c r="O36" s="86">
        <f t="shared" ref="O36" si="38">IF(H36=1,0,IF(H36&gt;0.01,0.1,H36*-1))</f>
        <v>0.1</v>
      </c>
      <c r="P36" s="86">
        <f t="shared" si="7"/>
        <v>0.1</v>
      </c>
      <c r="R36" s="42"/>
    </row>
    <row r="37" spans="1:18">
      <c r="A37" s="105">
        <v>148</v>
      </c>
      <c r="B37" s="148">
        <f t="shared" si="1"/>
        <v>148</v>
      </c>
      <c r="C37" s="106" t="s">
        <v>476</v>
      </c>
      <c r="D37" s="107">
        <v>158853819</v>
      </c>
      <c r="E37" s="146">
        <f>'Student Enrollment Data'!CK39</f>
        <v>502.5</v>
      </c>
      <c r="F37" s="104">
        <f t="shared" si="0"/>
        <v>316127.00298507465</v>
      </c>
      <c r="G37" s="145">
        <f t="shared" si="2"/>
        <v>0.5579278953133997</v>
      </c>
      <c r="H37">
        <f t="shared" si="3"/>
        <v>0.4420721046866003</v>
      </c>
      <c r="I37">
        <f>IF(H37&gt;'Front page'!$E$21,'Front page'!$E$21,H37)+1</f>
        <v>1.1000000000000001</v>
      </c>
      <c r="J37" s="37">
        <f t="shared" si="4"/>
        <v>1.1000000000000001</v>
      </c>
      <c r="K37">
        <v>148</v>
      </c>
      <c r="L37" t="s">
        <v>47</v>
      </c>
      <c r="M37">
        <f t="shared" si="5"/>
        <v>1.1000000000000001</v>
      </c>
      <c r="O37" s="86">
        <f t="shared" ref="O37" si="39">IF(H37=1,0,IF(H37&gt;0.01,0.01,H37*-1))</f>
        <v>0.01</v>
      </c>
      <c r="P37" s="86">
        <f t="shared" si="7"/>
        <v>0.01</v>
      </c>
      <c r="R37" s="42"/>
    </row>
    <row r="38" spans="1:18">
      <c r="A38" s="105">
        <v>149</v>
      </c>
      <c r="B38" s="148">
        <f t="shared" si="1"/>
        <v>149</v>
      </c>
      <c r="C38" s="109" t="s">
        <v>477</v>
      </c>
      <c r="D38" s="107">
        <v>118315298</v>
      </c>
      <c r="E38" s="146">
        <f>'Student Enrollment Data'!CK40</f>
        <v>157</v>
      </c>
      <c r="F38" s="104">
        <f t="shared" si="0"/>
        <v>753600.62420382164</v>
      </c>
      <c r="G38" s="145">
        <f t="shared" si="2"/>
        <v>1.3300186513606795</v>
      </c>
      <c r="H38">
        <f t="shared" si="3"/>
        <v>0</v>
      </c>
      <c r="I38">
        <f>IF(H38&gt;'Front page'!$E$21,'Front page'!$E$21,H38)+1</f>
        <v>1</v>
      </c>
      <c r="J38" s="37">
        <f t="shared" si="4"/>
        <v>1</v>
      </c>
      <c r="K38">
        <v>149</v>
      </c>
      <c r="L38" t="s">
        <v>48</v>
      </c>
      <c r="M38">
        <f t="shared" si="5"/>
        <v>1</v>
      </c>
      <c r="O38" s="86">
        <f t="shared" ref="O38" si="40">IF(H38=1,0,IF(H38&lt;0.1,0.1,H38*-1))</f>
        <v>0.1</v>
      </c>
      <c r="P38" s="86">
        <f t="shared" si="7"/>
        <v>0.1</v>
      </c>
      <c r="R38" s="42"/>
    </row>
    <row r="39" spans="1:18">
      <c r="A39" s="105">
        <v>150</v>
      </c>
      <c r="B39" s="148">
        <f t="shared" si="1"/>
        <v>150</v>
      </c>
      <c r="C39" s="109" t="s">
        <v>478</v>
      </c>
      <c r="D39" s="107">
        <v>680172421</v>
      </c>
      <c r="E39" s="146">
        <f>'Student Enrollment Data'!CK41</f>
        <v>851</v>
      </c>
      <c r="F39" s="104">
        <f t="shared" si="0"/>
        <v>799262.53936545237</v>
      </c>
      <c r="G39" s="145">
        <f t="shared" si="2"/>
        <v>1.4106066934499231</v>
      </c>
      <c r="H39">
        <f t="shared" si="3"/>
        <v>0</v>
      </c>
      <c r="I39">
        <f>IF(H39&gt;'Front page'!$E$21,'Front page'!$E$21,H39)+1</f>
        <v>1</v>
      </c>
      <c r="J39" s="37">
        <f t="shared" si="4"/>
        <v>1</v>
      </c>
      <c r="K39">
        <v>150</v>
      </c>
      <c r="L39" t="s">
        <v>49</v>
      </c>
      <c r="M39">
        <f t="shared" si="5"/>
        <v>1</v>
      </c>
      <c r="O39" s="86">
        <f t="shared" ref="O39" si="41">IF(H39=1,0,IF(H39&gt;0.01,0.1,H39*-1))</f>
        <v>0</v>
      </c>
      <c r="P39" s="86">
        <f t="shared" si="7"/>
        <v>0</v>
      </c>
      <c r="R39" s="42"/>
    </row>
    <row r="40" spans="1:18">
      <c r="A40" s="105">
        <v>151</v>
      </c>
      <c r="B40" s="148">
        <f t="shared" si="1"/>
        <v>151</v>
      </c>
      <c r="C40" s="109" t="s">
        <v>479</v>
      </c>
      <c r="D40" s="107">
        <v>1523078224</v>
      </c>
      <c r="E40" s="146">
        <f>'Student Enrollment Data'!CK42</f>
        <v>5216</v>
      </c>
      <c r="F40" s="104">
        <f t="shared" si="0"/>
        <v>292001.19325153372</v>
      </c>
      <c r="G40" s="145">
        <f t="shared" si="2"/>
        <v>0.51534860876000921</v>
      </c>
      <c r="H40">
        <f t="shared" si="3"/>
        <v>0.48465139123999079</v>
      </c>
      <c r="I40">
        <f>IF(H40&gt;'Front page'!$E$21,'Front page'!$E$21,H40)+1</f>
        <v>1.1000000000000001</v>
      </c>
      <c r="J40" s="37">
        <f t="shared" si="4"/>
        <v>1.1000000000000001</v>
      </c>
      <c r="K40">
        <v>151</v>
      </c>
      <c r="L40" t="s">
        <v>50</v>
      </c>
      <c r="M40">
        <f t="shared" si="5"/>
        <v>1.1000000000000001</v>
      </c>
      <c r="O40" s="86">
        <f t="shared" ref="O40" si="42">IF(H40=1,0,IF(H40&gt;0.01,0.01,H40*-1))</f>
        <v>0.01</v>
      </c>
      <c r="P40" s="86">
        <f t="shared" si="7"/>
        <v>0.01</v>
      </c>
      <c r="R40" s="42"/>
    </row>
    <row r="41" spans="1:18">
      <c r="A41" s="105">
        <v>161</v>
      </c>
      <c r="B41" s="148">
        <f t="shared" si="1"/>
        <v>161</v>
      </c>
      <c r="C41" s="109" t="s">
        <v>480</v>
      </c>
      <c r="D41" s="107">
        <v>124356141</v>
      </c>
      <c r="E41" s="146">
        <f>'Student Enrollment Data'!CK43</f>
        <v>116</v>
      </c>
      <c r="F41" s="104">
        <f t="shared" si="0"/>
        <v>1072035.698275862</v>
      </c>
      <c r="G41" s="145">
        <f t="shared" si="2"/>
        <v>1.8920200273689418</v>
      </c>
      <c r="H41">
        <f t="shared" si="3"/>
        <v>0</v>
      </c>
      <c r="I41">
        <f>IF(H41&gt;'Front page'!$E$21,'Front page'!$E$21,H41)+1</f>
        <v>1</v>
      </c>
      <c r="J41" s="37">
        <f t="shared" si="4"/>
        <v>1</v>
      </c>
      <c r="K41">
        <v>161</v>
      </c>
      <c r="L41" t="s">
        <v>51</v>
      </c>
      <c r="M41">
        <f t="shared" si="5"/>
        <v>1</v>
      </c>
      <c r="O41" s="86">
        <f t="shared" ref="O41" si="43">IF(H41=1,0,IF(H41&lt;0.1,0.1,H41*-1))</f>
        <v>0.1</v>
      </c>
      <c r="P41" s="86">
        <f t="shared" si="7"/>
        <v>0.1</v>
      </c>
      <c r="R41" s="42"/>
    </row>
    <row r="42" spans="1:18">
      <c r="A42" s="105">
        <v>171</v>
      </c>
      <c r="B42" s="148">
        <f t="shared" si="1"/>
        <v>171</v>
      </c>
      <c r="C42" s="109" t="s">
        <v>481</v>
      </c>
      <c r="D42" s="107">
        <v>605315466</v>
      </c>
      <c r="E42" s="146">
        <f>'Student Enrollment Data'!CK44</f>
        <v>998</v>
      </c>
      <c r="F42" s="104">
        <f t="shared" si="0"/>
        <v>606528.52304609213</v>
      </c>
      <c r="G42" s="145">
        <f t="shared" si="2"/>
        <v>1.0704532644009153</v>
      </c>
      <c r="H42">
        <f t="shared" si="3"/>
        <v>0</v>
      </c>
      <c r="I42">
        <f>IF(H42&gt;'Front page'!$E$21,'Front page'!$E$21,H42)+1</f>
        <v>1</v>
      </c>
      <c r="J42" s="37">
        <f t="shared" si="4"/>
        <v>1</v>
      </c>
      <c r="K42">
        <v>171</v>
      </c>
      <c r="L42" t="s">
        <v>52</v>
      </c>
      <c r="M42">
        <f t="shared" si="5"/>
        <v>1</v>
      </c>
      <c r="O42" s="86">
        <f t="shared" ref="O42" si="44">IF(H42=1,0,IF(H42&gt;0.01,0.1,H42*-1))</f>
        <v>0</v>
      </c>
      <c r="P42" s="86">
        <f t="shared" si="7"/>
        <v>0</v>
      </c>
      <c r="R42" s="42"/>
    </row>
    <row r="43" spans="1:18">
      <c r="A43" s="105">
        <v>181</v>
      </c>
      <c r="B43" s="148">
        <f t="shared" si="1"/>
        <v>181</v>
      </c>
      <c r="C43" s="109" t="s">
        <v>482</v>
      </c>
      <c r="D43" s="107">
        <v>598560106</v>
      </c>
      <c r="E43" s="146">
        <f>'Student Enrollment Data'!CK45</f>
        <v>337.5</v>
      </c>
      <c r="F43" s="104">
        <f t="shared" si="0"/>
        <v>1773511.4251851852</v>
      </c>
      <c r="G43" s="145">
        <f t="shared" si="2"/>
        <v>3.1300442145859817</v>
      </c>
      <c r="H43">
        <f t="shared" si="3"/>
        <v>0</v>
      </c>
      <c r="I43">
        <f>IF(H43&gt;'Front page'!$E$21,'Front page'!$E$21,H43)+1</f>
        <v>1</v>
      </c>
      <c r="J43" s="37">
        <f t="shared" si="4"/>
        <v>1</v>
      </c>
      <c r="K43">
        <v>181</v>
      </c>
      <c r="L43" t="s">
        <v>53</v>
      </c>
      <c r="M43">
        <f t="shared" si="5"/>
        <v>1</v>
      </c>
      <c r="O43" s="86">
        <f t="shared" ref="O43" si="45">IF(H43=1,0,IF(H43&gt;0.01,0.01,H43*-1))</f>
        <v>0</v>
      </c>
      <c r="P43" s="86">
        <f t="shared" si="7"/>
        <v>0</v>
      </c>
      <c r="R43" s="42"/>
    </row>
    <row r="44" spans="1:18">
      <c r="A44" s="105">
        <v>182</v>
      </c>
      <c r="B44" s="148">
        <f t="shared" si="1"/>
        <v>182</v>
      </c>
      <c r="C44" s="109" t="s">
        <v>483</v>
      </c>
      <c r="D44" s="107">
        <v>148946868</v>
      </c>
      <c r="E44" s="146">
        <f>'Student Enrollment Data'!CK46</f>
        <v>211</v>
      </c>
      <c r="F44" s="104">
        <f t="shared" si="0"/>
        <v>705909.32701421797</v>
      </c>
      <c r="G44" s="145">
        <f t="shared" si="2"/>
        <v>1.2458489827954866</v>
      </c>
      <c r="H44">
        <f t="shared" si="3"/>
        <v>0</v>
      </c>
      <c r="I44">
        <f>IF(H44&gt;'Front page'!$E$21,'Front page'!$E$21,H44)+1</f>
        <v>1</v>
      </c>
      <c r="J44" s="37">
        <f t="shared" si="4"/>
        <v>1</v>
      </c>
      <c r="K44">
        <v>182</v>
      </c>
      <c r="L44" t="s">
        <v>54</v>
      </c>
      <c r="M44">
        <f t="shared" si="5"/>
        <v>1</v>
      </c>
      <c r="O44" s="86">
        <f t="shared" ref="O44" si="46">IF(H44=1,0,IF(H44&lt;0.1,0.1,H44*-1))</f>
        <v>0.1</v>
      </c>
      <c r="P44" s="86">
        <f t="shared" si="7"/>
        <v>0.1</v>
      </c>
      <c r="R44" s="42"/>
    </row>
    <row r="45" spans="1:18">
      <c r="A45" s="105">
        <v>191</v>
      </c>
      <c r="B45" s="148">
        <f t="shared" si="1"/>
        <v>191</v>
      </c>
      <c r="C45" s="109" t="s">
        <v>484</v>
      </c>
      <c r="D45" s="107">
        <v>12153847</v>
      </c>
      <c r="E45" s="146">
        <f>'Student Enrollment Data'!CK47</f>
        <v>2</v>
      </c>
      <c r="F45" s="104">
        <f t="shared" si="0"/>
        <v>6076923.5</v>
      </c>
      <c r="G45" s="145">
        <f t="shared" si="2"/>
        <v>10.725072854645113</v>
      </c>
      <c r="H45">
        <f t="shared" si="3"/>
        <v>0</v>
      </c>
      <c r="I45">
        <f>IF(H45&gt;'Front page'!$E$21,'Front page'!$E$21,H45)+1</f>
        <v>1</v>
      </c>
      <c r="J45" s="37">
        <f t="shared" si="4"/>
        <v>1</v>
      </c>
      <c r="K45">
        <v>191</v>
      </c>
      <c r="L45" t="s">
        <v>55</v>
      </c>
      <c r="M45">
        <f t="shared" si="5"/>
        <v>1</v>
      </c>
      <c r="O45" s="86">
        <f t="shared" ref="O45" si="47">IF(H45=1,0,IF(H45&gt;0.01,0.1,H45*-1))</f>
        <v>0</v>
      </c>
      <c r="P45" s="86">
        <f t="shared" si="7"/>
        <v>0</v>
      </c>
      <c r="R45" s="42"/>
    </row>
    <row r="46" spans="1:18">
      <c r="A46" s="105">
        <v>192</v>
      </c>
      <c r="B46" s="148">
        <f t="shared" si="1"/>
        <v>192</v>
      </c>
      <c r="C46" s="109" t="s">
        <v>485</v>
      </c>
      <c r="D46" s="107">
        <v>334134976</v>
      </c>
      <c r="E46" s="146">
        <f>'Student Enrollment Data'!CK48</f>
        <v>383.5</v>
      </c>
      <c r="F46" s="104">
        <f t="shared" si="0"/>
        <v>871277.64276401559</v>
      </c>
      <c r="G46" s="145">
        <f t="shared" si="2"/>
        <v>1.5377050896341751</v>
      </c>
      <c r="H46">
        <f t="shared" si="3"/>
        <v>0</v>
      </c>
      <c r="I46">
        <f>IF(H46&gt;'Front page'!$E$21,'Front page'!$E$21,H46)+1</f>
        <v>1</v>
      </c>
      <c r="J46" s="37">
        <f t="shared" si="4"/>
        <v>1</v>
      </c>
      <c r="K46">
        <v>192</v>
      </c>
      <c r="L46" t="s">
        <v>56</v>
      </c>
      <c r="M46">
        <f t="shared" si="5"/>
        <v>1</v>
      </c>
      <c r="O46" s="86">
        <f t="shared" ref="O46" si="48">IF(H46=1,0,IF(H46&gt;0.01,0.01,H46*-1))</f>
        <v>0</v>
      </c>
      <c r="P46" s="86">
        <f t="shared" si="7"/>
        <v>0</v>
      </c>
      <c r="R46" s="42"/>
    </row>
    <row r="47" spans="1:18">
      <c r="A47" s="105">
        <v>193</v>
      </c>
      <c r="B47" s="148">
        <f t="shared" si="1"/>
        <v>193</v>
      </c>
      <c r="C47" s="109" t="s">
        <v>406</v>
      </c>
      <c r="D47" s="107">
        <v>1235229711</v>
      </c>
      <c r="E47" s="146">
        <f>'Student Enrollment Data'!CK49</f>
        <v>3737.5</v>
      </c>
      <c r="F47" s="104">
        <f t="shared" si="0"/>
        <v>330496.24374581937</v>
      </c>
      <c r="G47" s="145">
        <f t="shared" si="2"/>
        <v>0.58328795686838275</v>
      </c>
      <c r="H47">
        <f t="shared" si="3"/>
        <v>0.41671204313161725</v>
      </c>
      <c r="I47">
        <f>IF(H47&gt;'Front page'!$E$21,'Front page'!$E$21,H47)+1</f>
        <v>1.1000000000000001</v>
      </c>
      <c r="J47" s="37">
        <f t="shared" si="4"/>
        <v>1.1000000000000001</v>
      </c>
      <c r="K47">
        <v>193</v>
      </c>
      <c r="L47" t="s">
        <v>57</v>
      </c>
      <c r="M47">
        <f t="shared" si="5"/>
        <v>1.1000000000000001</v>
      </c>
      <c r="O47" s="86">
        <f t="shared" ref="O47" si="49">IF(H47=1,0,IF(H47&lt;0.1,0.1,H47*-1))</f>
        <v>-0.41671204313161725</v>
      </c>
      <c r="P47" s="86">
        <f t="shared" si="7"/>
        <v>-0.41671204313161725</v>
      </c>
      <c r="R47" s="42"/>
    </row>
    <row r="48" spans="1:18">
      <c r="A48" s="105">
        <v>201</v>
      </c>
      <c r="B48" s="148">
        <f t="shared" si="1"/>
        <v>201</v>
      </c>
      <c r="C48" s="109" t="s">
        <v>486</v>
      </c>
      <c r="D48" s="107">
        <v>575568074</v>
      </c>
      <c r="E48" s="146">
        <f>'Student Enrollment Data'!CK50</f>
        <v>2246</v>
      </c>
      <c r="F48" s="104">
        <f t="shared" si="0"/>
        <v>256263.6126447017</v>
      </c>
      <c r="G48" s="145">
        <f t="shared" si="2"/>
        <v>0.45227587867594188</v>
      </c>
      <c r="H48">
        <f t="shared" si="3"/>
        <v>0.54772412132405812</v>
      </c>
      <c r="I48">
        <f>IF(H48&gt;'Front page'!$E$21,'Front page'!$E$21,H48)+1</f>
        <v>1.1000000000000001</v>
      </c>
      <c r="J48" s="37">
        <f t="shared" si="4"/>
        <v>1.1000000000000001</v>
      </c>
      <c r="K48">
        <v>201</v>
      </c>
      <c r="L48" t="s">
        <v>58</v>
      </c>
      <c r="M48">
        <f t="shared" si="5"/>
        <v>1.1000000000000001</v>
      </c>
      <c r="O48" s="86">
        <f t="shared" ref="O48" si="50">IF(H48=1,0,IF(H48&gt;0.01,0.1,H48*-1))</f>
        <v>0.1</v>
      </c>
      <c r="P48" s="86">
        <f t="shared" si="7"/>
        <v>0.1</v>
      </c>
      <c r="R48" s="42"/>
    </row>
    <row r="49" spans="1:18">
      <c r="A49" s="105">
        <v>202</v>
      </c>
      <c r="B49" s="148">
        <f t="shared" si="1"/>
        <v>202</v>
      </c>
      <c r="C49" s="109" t="s">
        <v>487</v>
      </c>
      <c r="D49" s="107">
        <v>169212467</v>
      </c>
      <c r="E49" s="146">
        <f>'Student Enrollment Data'!CK51</f>
        <v>721</v>
      </c>
      <c r="F49" s="104">
        <f t="shared" si="0"/>
        <v>234691.35506241332</v>
      </c>
      <c r="G49" s="145">
        <f t="shared" si="2"/>
        <v>0.41420331873517363</v>
      </c>
      <c r="H49">
        <f t="shared" si="3"/>
        <v>0.58579668126482631</v>
      </c>
      <c r="I49">
        <f>IF(H49&gt;'Front page'!$E$21,'Front page'!$E$21,H49)+1</f>
        <v>1.1000000000000001</v>
      </c>
      <c r="J49" s="37">
        <f t="shared" si="4"/>
        <v>1.1000000000000001</v>
      </c>
      <c r="K49">
        <v>202</v>
      </c>
      <c r="L49" t="s">
        <v>59</v>
      </c>
      <c r="M49">
        <f t="shared" si="5"/>
        <v>1.1000000000000001</v>
      </c>
      <c r="O49" s="86">
        <f t="shared" ref="O49" si="51">IF(H49=1,0,IF(H49&gt;0.01,0.01,H49*-1))</f>
        <v>0.01</v>
      </c>
      <c r="P49" s="86">
        <f t="shared" si="7"/>
        <v>0.01</v>
      </c>
      <c r="R49" s="42"/>
    </row>
    <row r="50" spans="1:18">
      <c r="A50" s="105">
        <v>215</v>
      </c>
      <c r="B50" s="148">
        <f t="shared" si="1"/>
        <v>215</v>
      </c>
      <c r="C50" s="109" t="s">
        <v>488</v>
      </c>
      <c r="D50" s="107">
        <v>1711165656</v>
      </c>
      <c r="E50" s="146">
        <f>'Student Enrollment Data'!CK52</f>
        <v>2105</v>
      </c>
      <c r="F50" s="104">
        <f t="shared" si="0"/>
        <v>812905.2997624703</v>
      </c>
      <c r="G50" s="145">
        <f t="shared" si="2"/>
        <v>1.4346846005021485</v>
      </c>
      <c r="H50">
        <f t="shared" si="3"/>
        <v>0</v>
      </c>
      <c r="I50">
        <f>IF(H50&gt;'Front page'!$E$21,'Front page'!$E$21,H50)+1</f>
        <v>1</v>
      </c>
      <c r="J50" s="37">
        <f t="shared" si="4"/>
        <v>1</v>
      </c>
      <c r="K50">
        <v>215</v>
      </c>
      <c r="L50" t="s">
        <v>60</v>
      </c>
      <c r="M50">
        <f t="shared" si="5"/>
        <v>1</v>
      </c>
      <c r="O50" s="86">
        <f t="shared" ref="O50" si="52">IF(H50=1,0,IF(H50&lt;0.1,0.1,H50*-1))</f>
        <v>0.1</v>
      </c>
      <c r="P50" s="86">
        <f t="shared" si="7"/>
        <v>0.1</v>
      </c>
      <c r="R50" s="42"/>
    </row>
    <row r="51" spans="1:18">
      <c r="A51" s="105">
        <v>221</v>
      </c>
      <c r="B51" s="148">
        <f t="shared" si="1"/>
        <v>221</v>
      </c>
      <c r="C51" s="106" t="s">
        <v>489</v>
      </c>
      <c r="D51" s="107">
        <v>1084168827</v>
      </c>
      <c r="E51" s="146">
        <f>'Student Enrollment Data'!CK53</f>
        <v>2323.5</v>
      </c>
      <c r="F51" s="104">
        <f t="shared" si="0"/>
        <v>466610.21174951585</v>
      </c>
      <c r="G51" s="145">
        <f t="shared" si="2"/>
        <v>0.82351349588898726</v>
      </c>
      <c r="H51">
        <f t="shared" si="3"/>
        <v>0.17648650411101274</v>
      </c>
      <c r="I51">
        <f>IF(H51&gt;'Front page'!$E$21,'Front page'!$E$21,H51)+1</f>
        <v>1.1000000000000001</v>
      </c>
      <c r="J51" s="37">
        <f t="shared" si="4"/>
        <v>1.1000000000000001</v>
      </c>
      <c r="K51">
        <v>221</v>
      </c>
      <c r="L51" t="s">
        <v>61</v>
      </c>
      <c r="M51">
        <f t="shared" si="5"/>
        <v>1.1000000000000001</v>
      </c>
      <c r="O51" s="86">
        <f t="shared" ref="O51" si="53">IF(H51=1,0,IF(H51&gt;0.01,0.1,H51*-1))</f>
        <v>0.1</v>
      </c>
      <c r="P51" s="86">
        <f t="shared" si="7"/>
        <v>0.1</v>
      </c>
      <c r="R51" s="42"/>
    </row>
    <row r="52" spans="1:18">
      <c r="A52" s="105">
        <v>231</v>
      </c>
      <c r="B52" s="148">
        <f t="shared" si="1"/>
        <v>231</v>
      </c>
      <c r="C52" s="110" t="s">
        <v>490</v>
      </c>
      <c r="D52" s="107">
        <v>511310673</v>
      </c>
      <c r="E52" s="146">
        <f>'Student Enrollment Data'!CK54</f>
        <v>1306.5</v>
      </c>
      <c r="F52" s="104">
        <f t="shared" si="0"/>
        <v>391359.10677382321</v>
      </c>
      <c r="G52" s="145">
        <f t="shared" si="2"/>
        <v>0.69070392814358939</v>
      </c>
      <c r="H52">
        <f t="shared" si="3"/>
        <v>0.30929607185641061</v>
      </c>
      <c r="I52">
        <f>IF(H52&gt;'Front page'!$E$21,'Front page'!$E$21,H52)+1</f>
        <v>1.1000000000000001</v>
      </c>
      <c r="J52" s="37">
        <f t="shared" si="4"/>
        <v>1.1000000000000001</v>
      </c>
      <c r="K52">
        <v>231</v>
      </c>
      <c r="L52" t="s">
        <v>62</v>
      </c>
      <c r="M52">
        <f t="shared" si="5"/>
        <v>1.1000000000000001</v>
      </c>
      <c r="O52" s="86">
        <f t="shared" ref="O52" si="54">IF(H52=1,0,IF(H52&gt;0.01,0.01,H52*-1))</f>
        <v>0.01</v>
      </c>
      <c r="P52" s="86">
        <f t="shared" si="7"/>
        <v>0.01</v>
      </c>
      <c r="R52" s="42"/>
    </row>
    <row r="53" spans="1:18">
      <c r="A53" s="105">
        <v>232</v>
      </c>
      <c r="B53" s="148">
        <f t="shared" si="1"/>
        <v>232</v>
      </c>
      <c r="C53" s="110" t="s">
        <v>491</v>
      </c>
      <c r="D53" s="107">
        <v>340819328</v>
      </c>
      <c r="E53" s="146">
        <f>'Student Enrollment Data'!CK55</f>
        <v>1023</v>
      </c>
      <c r="F53" s="104">
        <f t="shared" si="0"/>
        <v>333156.72336265887</v>
      </c>
      <c r="G53" s="145">
        <f t="shared" si="2"/>
        <v>0.58798339819143086</v>
      </c>
      <c r="H53">
        <f t="shared" si="3"/>
        <v>0.41201660180856914</v>
      </c>
      <c r="I53">
        <f>IF(H53&gt;'Front page'!$E$21,'Front page'!$E$21,H53)+1</f>
        <v>1.1000000000000001</v>
      </c>
      <c r="J53" s="37">
        <f t="shared" si="4"/>
        <v>1.1000000000000001</v>
      </c>
      <c r="K53">
        <v>232</v>
      </c>
      <c r="L53" t="s">
        <v>63</v>
      </c>
      <c r="M53">
        <f t="shared" si="5"/>
        <v>1.1000000000000001</v>
      </c>
      <c r="O53" s="86">
        <f t="shared" ref="O53" si="55">IF(H53=1,0,IF(H53&lt;0.1,0.1,H53*-1))</f>
        <v>-0.41201660180856914</v>
      </c>
      <c r="P53" s="86">
        <f t="shared" si="7"/>
        <v>-0.41201660180856914</v>
      </c>
      <c r="R53" s="42"/>
    </row>
    <row r="54" spans="1:18">
      <c r="A54" s="105">
        <v>233</v>
      </c>
      <c r="B54" s="148">
        <f t="shared" si="1"/>
        <v>233</v>
      </c>
      <c r="C54" s="109" t="s">
        <v>492</v>
      </c>
      <c r="D54" s="107">
        <v>190538609</v>
      </c>
      <c r="E54" s="146">
        <f>'Student Enrollment Data'!CK56</f>
        <v>280.5</v>
      </c>
      <c r="F54" s="104">
        <f t="shared" si="0"/>
        <v>679282.02852049912</v>
      </c>
      <c r="G54" s="145">
        <f t="shared" si="2"/>
        <v>1.1988548555421954</v>
      </c>
      <c r="H54">
        <f t="shared" si="3"/>
        <v>0</v>
      </c>
      <c r="I54">
        <f>IF(H54&gt;'Front page'!$E$21,'Front page'!$E$21,H54)+1</f>
        <v>1</v>
      </c>
      <c r="J54" s="37">
        <f t="shared" si="4"/>
        <v>1</v>
      </c>
      <c r="K54">
        <v>233</v>
      </c>
      <c r="L54" t="s">
        <v>64</v>
      </c>
      <c r="M54">
        <f t="shared" si="5"/>
        <v>1</v>
      </c>
      <c r="O54" s="86">
        <f t="shared" ref="O54" si="56">IF(H54=1,0,IF(H54&gt;0.01,0.1,H54*-1))</f>
        <v>0</v>
      </c>
      <c r="P54" s="86">
        <f t="shared" si="7"/>
        <v>0</v>
      </c>
      <c r="R54" s="42"/>
    </row>
    <row r="55" spans="1:18">
      <c r="A55" s="105">
        <v>234</v>
      </c>
      <c r="B55" s="148">
        <f t="shared" si="1"/>
        <v>234</v>
      </c>
      <c r="C55" s="109" t="s">
        <v>493</v>
      </c>
      <c r="D55" s="107">
        <v>99305075</v>
      </c>
      <c r="E55" s="146">
        <f>'Student Enrollment Data'!CK57</f>
        <v>133</v>
      </c>
      <c r="F55" s="104">
        <f t="shared" si="0"/>
        <v>746654.69924812031</v>
      </c>
      <c r="G55" s="145">
        <f t="shared" si="2"/>
        <v>1.3177598906254497</v>
      </c>
      <c r="H55">
        <f t="shared" si="3"/>
        <v>0</v>
      </c>
      <c r="I55">
        <f>IF(H55&gt;'Front page'!$E$21,'Front page'!$E$21,H55)+1</f>
        <v>1</v>
      </c>
      <c r="J55" s="37">
        <f t="shared" si="4"/>
        <v>1</v>
      </c>
      <c r="K55">
        <v>234</v>
      </c>
      <c r="L55" t="s">
        <v>65</v>
      </c>
      <c r="M55">
        <f t="shared" si="5"/>
        <v>1</v>
      </c>
      <c r="O55" s="86">
        <f t="shared" ref="O55" si="57">IF(H55=1,0,IF(H55&gt;0.01,0.01,H55*-1))</f>
        <v>0</v>
      </c>
      <c r="P55" s="86">
        <f t="shared" si="7"/>
        <v>0</v>
      </c>
      <c r="R55" s="42"/>
    </row>
    <row r="56" spans="1:18">
      <c r="A56" s="105">
        <v>242</v>
      </c>
      <c r="B56" s="148">
        <f t="shared" si="1"/>
        <v>242</v>
      </c>
      <c r="C56" s="109" t="s">
        <v>494</v>
      </c>
      <c r="D56" s="107">
        <v>159511780</v>
      </c>
      <c r="E56" s="146">
        <f>'Student Enrollment Data'!CK58</f>
        <v>369</v>
      </c>
      <c r="F56" s="104">
        <f t="shared" si="0"/>
        <v>432281.24661246612</v>
      </c>
      <c r="G56" s="145">
        <f t="shared" si="2"/>
        <v>0.76292681051777433</v>
      </c>
      <c r="H56">
        <f t="shared" si="3"/>
        <v>0.23707318948222567</v>
      </c>
      <c r="I56">
        <f>IF(H56&gt;'Front page'!$E$21,'Front page'!$E$21,H56)+1</f>
        <v>1.1000000000000001</v>
      </c>
      <c r="J56" s="37">
        <f t="shared" si="4"/>
        <v>1.1000000000000001</v>
      </c>
      <c r="K56">
        <v>242</v>
      </c>
      <c r="L56" t="s">
        <v>66</v>
      </c>
      <c r="M56">
        <f t="shared" si="5"/>
        <v>1.1000000000000001</v>
      </c>
      <c r="O56" s="86">
        <f t="shared" ref="O56" si="58">IF(H56=1,0,IF(H56&lt;0.1,0.1,H56*-1))</f>
        <v>-0.23707318948222567</v>
      </c>
      <c r="P56" s="86">
        <f t="shared" si="7"/>
        <v>-0.23707318948222567</v>
      </c>
      <c r="R56" s="42"/>
    </row>
    <row r="57" spans="1:18">
      <c r="A57" s="105">
        <v>243</v>
      </c>
      <c r="B57" s="148">
        <f t="shared" si="1"/>
        <v>243</v>
      </c>
      <c r="C57" s="109" t="s">
        <v>495</v>
      </c>
      <c r="D57" s="107">
        <v>137296302</v>
      </c>
      <c r="E57" s="146">
        <f>'Student Enrollment Data'!CK59</f>
        <v>114.5</v>
      </c>
      <c r="F57" s="104">
        <f t="shared" si="0"/>
        <v>1199094.3406113537</v>
      </c>
      <c r="G57" s="145">
        <f t="shared" si="2"/>
        <v>2.1162639553796274</v>
      </c>
      <c r="H57">
        <f t="shared" si="3"/>
        <v>0</v>
      </c>
      <c r="I57">
        <f>IF(H57&gt;'Front page'!$E$21,'Front page'!$E$21,H57)+1</f>
        <v>1</v>
      </c>
      <c r="J57" s="37">
        <f t="shared" si="4"/>
        <v>1</v>
      </c>
      <c r="K57">
        <v>243</v>
      </c>
      <c r="L57" t="s">
        <v>67</v>
      </c>
      <c r="M57">
        <f t="shared" si="5"/>
        <v>1</v>
      </c>
      <c r="O57" s="86">
        <f t="shared" ref="O57" si="59">IF(H57=1,0,IF(H57&gt;0.01,0.1,H57*-1))</f>
        <v>0</v>
      </c>
      <c r="P57" s="86">
        <f t="shared" si="7"/>
        <v>0</v>
      </c>
      <c r="R57" s="42"/>
    </row>
    <row r="58" spans="1:18">
      <c r="A58" s="105">
        <v>244</v>
      </c>
      <c r="B58" s="148">
        <f t="shared" si="1"/>
        <v>244</v>
      </c>
      <c r="C58" s="109" t="s">
        <v>414</v>
      </c>
      <c r="D58" s="107">
        <v>863312074</v>
      </c>
      <c r="E58" s="146">
        <f>'Student Enrollment Data'!CK60</f>
        <v>1200</v>
      </c>
      <c r="F58" s="104">
        <f t="shared" si="0"/>
        <v>719426.72833333339</v>
      </c>
      <c r="G58" s="145">
        <f t="shared" si="2"/>
        <v>1.2697056454559577</v>
      </c>
      <c r="H58">
        <f t="shared" si="3"/>
        <v>0</v>
      </c>
      <c r="I58">
        <f>IF(H58&gt;'Front page'!$E$21,'Front page'!$E$21,H58)+1</f>
        <v>1</v>
      </c>
      <c r="J58" s="37">
        <f t="shared" si="4"/>
        <v>1</v>
      </c>
      <c r="K58">
        <v>244</v>
      </c>
      <c r="L58" t="s">
        <v>68</v>
      </c>
      <c r="M58">
        <f t="shared" si="5"/>
        <v>1</v>
      </c>
      <c r="O58" s="86">
        <f t="shared" ref="O58" si="60">IF(H58=1,0,IF(H58&gt;0.01,0.01,H58*-1))</f>
        <v>0</v>
      </c>
      <c r="P58" s="86">
        <f t="shared" si="7"/>
        <v>0</v>
      </c>
      <c r="R58" s="42"/>
    </row>
    <row r="59" spans="1:18">
      <c r="A59" s="105">
        <v>251</v>
      </c>
      <c r="B59" s="148">
        <f t="shared" si="1"/>
        <v>251</v>
      </c>
      <c r="C59" s="106" t="s">
        <v>496</v>
      </c>
      <c r="D59" s="107">
        <v>1212680479</v>
      </c>
      <c r="E59" s="146">
        <f>'Student Enrollment Data'!CK61</f>
        <v>5819.5</v>
      </c>
      <c r="F59" s="104">
        <f t="shared" si="0"/>
        <v>208382.24572557778</v>
      </c>
      <c r="G59" s="145">
        <f t="shared" si="2"/>
        <v>0.36777075884226318</v>
      </c>
      <c r="H59">
        <f t="shared" si="3"/>
        <v>0.63222924115773682</v>
      </c>
      <c r="I59">
        <f>IF(H59&gt;'Front page'!$E$21,'Front page'!$E$21,H59)+1</f>
        <v>1.1000000000000001</v>
      </c>
      <c r="J59" s="37">
        <f t="shared" si="4"/>
        <v>1.1000000000000001</v>
      </c>
      <c r="K59">
        <v>251</v>
      </c>
      <c r="L59" t="s">
        <v>69</v>
      </c>
      <c r="M59">
        <f t="shared" si="5"/>
        <v>1.1000000000000001</v>
      </c>
      <c r="O59" s="86">
        <f t="shared" ref="O59" si="61">IF(H59=1,0,IF(H59&lt;0.1,0.1,H59*-1))</f>
        <v>-0.63222924115773682</v>
      </c>
      <c r="P59" s="86">
        <f t="shared" si="7"/>
        <v>-0.63222924115773682</v>
      </c>
      <c r="R59" s="42"/>
    </row>
    <row r="60" spans="1:18">
      <c r="A60" s="105">
        <v>252</v>
      </c>
      <c r="B60" s="148">
        <f t="shared" si="1"/>
        <v>252</v>
      </c>
      <c r="C60" s="109" t="s">
        <v>497</v>
      </c>
      <c r="D60" s="107">
        <v>171676898</v>
      </c>
      <c r="E60" s="146">
        <f>'Student Enrollment Data'!CK62</f>
        <v>675.5</v>
      </c>
      <c r="F60" s="104">
        <f t="shared" si="0"/>
        <v>254147.88749074758</v>
      </c>
      <c r="G60" s="145">
        <f t="shared" si="2"/>
        <v>0.44854186648760958</v>
      </c>
      <c r="H60">
        <f t="shared" si="3"/>
        <v>0.55145813351239048</v>
      </c>
      <c r="I60">
        <f>IF(H60&gt;'Front page'!$E$21,'Front page'!$E$21,H60)+1</f>
        <v>1.1000000000000001</v>
      </c>
      <c r="J60" s="37">
        <f t="shared" si="4"/>
        <v>1.1000000000000001</v>
      </c>
      <c r="K60">
        <v>252</v>
      </c>
      <c r="L60" t="s">
        <v>70</v>
      </c>
      <c r="M60">
        <f t="shared" si="5"/>
        <v>1.1000000000000001</v>
      </c>
      <c r="O60" s="86">
        <f t="shared" ref="O60" si="62">IF(H60=1,0,IF(H60&gt;0.01,0.1,H60*-1))</f>
        <v>0.1</v>
      </c>
      <c r="P60" s="86">
        <f t="shared" si="7"/>
        <v>0.1</v>
      </c>
      <c r="R60" s="42"/>
    </row>
    <row r="61" spans="1:18">
      <c r="A61" s="105">
        <v>253</v>
      </c>
      <c r="B61" s="148">
        <f t="shared" si="1"/>
        <v>253</v>
      </c>
      <c r="C61" s="109" t="s">
        <v>418</v>
      </c>
      <c r="D61" s="107">
        <v>227900013</v>
      </c>
      <c r="E61" s="146">
        <f>'Student Enrollment Data'!CK63</f>
        <v>576</v>
      </c>
      <c r="F61" s="104">
        <f t="shared" si="0"/>
        <v>395659.74479166669</v>
      </c>
      <c r="G61" s="145">
        <f t="shared" si="2"/>
        <v>0.69829406089132395</v>
      </c>
      <c r="H61">
        <f t="shared" si="3"/>
        <v>0.30170593910867605</v>
      </c>
      <c r="I61">
        <f>IF(H61&gt;'Front page'!$E$21,'Front page'!$E$21,H61)+1</f>
        <v>1.1000000000000001</v>
      </c>
      <c r="J61" s="37">
        <f t="shared" si="4"/>
        <v>1.1000000000000001</v>
      </c>
      <c r="K61">
        <v>253</v>
      </c>
      <c r="L61" t="s">
        <v>71</v>
      </c>
      <c r="M61">
        <f t="shared" si="5"/>
        <v>1.1000000000000001</v>
      </c>
      <c r="O61" s="86">
        <f t="shared" ref="O61" si="63">IF(H61=1,0,IF(H61&gt;0.01,0.01,H61*-1))</f>
        <v>0.01</v>
      </c>
      <c r="P61" s="86">
        <f t="shared" si="7"/>
        <v>0.01</v>
      </c>
      <c r="R61" s="42"/>
    </row>
    <row r="62" spans="1:18">
      <c r="A62" s="105">
        <v>261</v>
      </c>
      <c r="B62" s="148">
        <f t="shared" si="1"/>
        <v>261</v>
      </c>
      <c r="C62" s="106" t="s">
        <v>498</v>
      </c>
      <c r="D62" s="107">
        <v>1228350180</v>
      </c>
      <c r="E62" s="146">
        <f>'Student Enrollment Data'!CK64</f>
        <v>3874.5</v>
      </c>
      <c r="F62" s="104">
        <f t="shared" si="0"/>
        <v>317034.50251645374</v>
      </c>
      <c r="G62" s="145">
        <f t="shared" si="2"/>
        <v>0.55952952788119437</v>
      </c>
      <c r="H62">
        <f t="shared" si="3"/>
        <v>0.44047047211880563</v>
      </c>
      <c r="I62">
        <f>IF(H62&gt;'Front page'!$E$21,'Front page'!$E$21,H62)+1</f>
        <v>1.1000000000000001</v>
      </c>
      <c r="J62" s="37">
        <f t="shared" si="4"/>
        <v>1.1000000000000001</v>
      </c>
      <c r="K62">
        <v>261</v>
      </c>
      <c r="L62" t="s">
        <v>72</v>
      </c>
      <c r="M62">
        <f t="shared" si="5"/>
        <v>1.1000000000000001</v>
      </c>
      <c r="O62" s="86">
        <f t="shared" ref="O62" si="64">IF(H62=1,0,IF(H62&lt;0.1,0.1,H62*-1))</f>
        <v>-0.44047047211880563</v>
      </c>
      <c r="P62" s="86">
        <f t="shared" si="7"/>
        <v>-0.44047047211880563</v>
      </c>
      <c r="R62" s="42"/>
    </row>
    <row r="63" spans="1:18">
      <c r="A63" s="105">
        <v>262</v>
      </c>
      <c r="B63" s="148">
        <f t="shared" si="1"/>
        <v>262</v>
      </c>
      <c r="C63" s="109" t="s">
        <v>499</v>
      </c>
      <c r="D63" s="107">
        <v>248248384</v>
      </c>
      <c r="E63" s="146">
        <f>'Student Enrollment Data'!CK65</f>
        <v>574.5</v>
      </c>
      <c r="F63" s="104">
        <f t="shared" si="0"/>
        <v>432112.06962576153</v>
      </c>
      <c r="G63" s="145">
        <f t="shared" si="2"/>
        <v>0.76262823254361745</v>
      </c>
      <c r="H63">
        <f t="shared" si="3"/>
        <v>0.23737176745638255</v>
      </c>
      <c r="I63">
        <f>IF(H63&gt;'Front page'!$E$21,'Front page'!$E$21,H63)+1</f>
        <v>1.1000000000000001</v>
      </c>
      <c r="J63" s="37">
        <f t="shared" si="4"/>
        <v>1.1000000000000001</v>
      </c>
      <c r="K63">
        <v>262</v>
      </c>
      <c r="L63" t="s">
        <v>73</v>
      </c>
      <c r="M63">
        <f t="shared" si="5"/>
        <v>1.1000000000000001</v>
      </c>
      <c r="O63" s="86">
        <f t="shared" ref="O63" si="65">IF(H63=1,0,IF(H63&gt;0.01,0.1,H63*-1))</f>
        <v>0.1</v>
      </c>
      <c r="P63" s="86">
        <f t="shared" si="7"/>
        <v>0.1</v>
      </c>
      <c r="R63" s="42"/>
    </row>
    <row r="64" spans="1:18">
      <c r="A64" s="105">
        <v>271</v>
      </c>
      <c r="B64" s="148">
        <f t="shared" si="1"/>
        <v>271</v>
      </c>
      <c r="C64" s="109" t="s">
        <v>500</v>
      </c>
      <c r="D64" s="107">
        <v>9914094033</v>
      </c>
      <c r="E64" s="146">
        <f>'Student Enrollment Data'!CK66</f>
        <v>10380</v>
      </c>
      <c r="F64" s="104">
        <f t="shared" si="0"/>
        <v>955115.03208092484</v>
      </c>
      <c r="G64" s="145">
        <f t="shared" si="2"/>
        <v>1.6856684642540956</v>
      </c>
      <c r="H64">
        <f t="shared" si="3"/>
        <v>0</v>
      </c>
      <c r="I64">
        <f>IF(H64&gt;'Front page'!$E$21,'Front page'!$E$21,H64)+1</f>
        <v>1</v>
      </c>
      <c r="J64" s="37">
        <f t="shared" si="4"/>
        <v>1</v>
      </c>
      <c r="K64">
        <v>271</v>
      </c>
      <c r="L64" t="s">
        <v>74</v>
      </c>
      <c r="M64">
        <f t="shared" si="5"/>
        <v>1</v>
      </c>
      <c r="O64" s="86">
        <f t="shared" ref="O64" si="66">IF(H64=1,0,IF(H64&gt;0.01,0.01,H64*-1))</f>
        <v>0</v>
      </c>
      <c r="P64" s="86">
        <f t="shared" si="7"/>
        <v>0</v>
      </c>
      <c r="R64" s="42"/>
    </row>
    <row r="65" spans="1:18">
      <c r="A65" s="105">
        <v>272</v>
      </c>
      <c r="B65" s="148">
        <f t="shared" si="1"/>
        <v>272</v>
      </c>
      <c r="C65" s="109" t="s">
        <v>501</v>
      </c>
      <c r="D65" s="107">
        <v>3117652865</v>
      </c>
      <c r="E65" s="146">
        <f>'Student Enrollment Data'!CK67</f>
        <v>4287</v>
      </c>
      <c r="F65" s="104">
        <f t="shared" si="0"/>
        <v>727234.16491719149</v>
      </c>
      <c r="G65" s="145">
        <f t="shared" si="2"/>
        <v>1.2834848753853618</v>
      </c>
      <c r="H65">
        <f t="shared" si="3"/>
        <v>0</v>
      </c>
      <c r="I65">
        <f>IF(H65&gt;'Front page'!$E$21,'Front page'!$E$21,H65)+1</f>
        <v>1</v>
      </c>
      <c r="J65" s="37">
        <f t="shared" si="4"/>
        <v>1</v>
      </c>
      <c r="K65">
        <v>272</v>
      </c>
      <c r="L65" t="s">
        <v>75</v>
      </c>
      <c r="M65">
        <f t="shared" si="5"/>
        <v>1</v>
      </c>
      <c r="O65" s="86">
        <f t="shared" ref="O65" si="67">IF(H65=1,0,IF(H65&lt;0.1,0.1,H65*-1))</f>
        <v>0.1</v>
      </c>
      <c r="P65" s="86">
        <f t="shared" si="7"/>
        <v>0.1</v>
      </c>
      <c r="R65" s="42"/>
    </row>
    <row r="66" spans="1:18">
      <c r="A66" s="105">
        <v>273</v>
      </c>
      <c r="B66" s="148">
        <f t="shared" si="1"/>
        <v>273</v>
      </c>
      <c r="C66" s="109" t="s">
        <v>502</v>
      </c>
      <c r="D66" s="107">
        <v>3125801153</v>
      </c>
      <c r="E66" s="146">
        <f>'Student Enrollment Data'!CK68</f>
        <v>5789.5</v>
      </c>
      <c r="F66" s="104">
        <f t="shared" ref="F66:F116" si="68">SUM(D66/E66)</f>
        <v>539908.65411520854</v>
      </c>
      <c r="G66" s="145">
        <f t="shared" ref="G66:G115" si="69">SUM(F66/$F$118)</f>
        <v>0.9528768381301822</v>
      </c>
      <c r="H66">
        <f t="shared" si="3"/>
        <v>4.7123161869817798E-2</v>
      </c>
      <c r="I66">
        <f>IF(H66&gt;'Front page'!$E$21,'Front page'!$E$21,H66)+1</f>
        <v>1.0471231618698178</v>
      </c>
      <c r="J66" s="37">
        <f t="shared" si="4"/>
        <v>1.0471231618698178</v>
      </c>
      <c r="K66">
        <v>273</v>
      </c>
      <c r="L66" t="s">
        <v>76</v>
      </c>
      <c r="M66">
        <f t="shared" si="5"/>
        <v>1.0471231618698178</v>
      </c>
      <c r="O66" s="86">
        <f t="shared" ref="O66" si="70">IF(H66=1,0,IF(H66&gt;0.01,0.1,H66*-1))</f>
        <v>0.1</v>
      </c>
      <c r="P66" s="86">
        <f t="shared" si="7"/>
        <v>0.1</v>
      </c>
      <c r="R66" s="42"/>
    </row>
    <row r="67" spans="1:18">
      <c r="A67" s="105">
        <v>274</v>
      </c>
      <c r="B67" s="148">
        <f t="shared" ref="B67:B116" si="71">A67*1</f>
        <v>274</v>
      </c>
      <c r="C67" s="106" t="s">
        <v>503</v>
      </c>
      <c r="D67" s="107">
        <v>629314432</v>
      </c>
      <c r="E67" s="146">
        <f>'Student Enrollment Data'!CK69</f>
        <v>135.5</v>
      </c>
      <c r="F67" s="104">
        <f t="shared" si="68"/>
        <v>4644386.9520295206</v>
      </c>
      <c r="G67" s="145">
        <f t="shared" si="69"/>
        <v>8.1968101829288731</v>
      </c>
      <c r="H67">
        <f t="shared" ref="H67:H116" si="72">IF(G67&gt;1,0,G67-1)*-1</f>
        <v>0</v>
      </c>
      <c r="I67">
        <f>IF(H67&gt;'Front page'!$E$21,'Front page'!$E$21,H67)+1</f>
        <v>1</v>
      </c>
      <c r="J67" s="37">
        <f t="shared" ref="J67:J116" si="73">SUM(I67)</f>
        <v>1</v>
      </c>
      <c r="K67">
        <v>274</v>
      </c>
      <c r="L67" t="s">
        <v>77</v>
      </c>
      <c r="M67">
        <f t="shared" ref="M67:M130" si="74">IFERROR(VLOOKUP(K67,$B$2:$J$116,9,FALSE),1)</f>
        <v>1</v>
      </c>
      <c r="O67" s="86">
        <f t="shared" ref="O67" si="75">IF(H67=1,0,IF(H67&gt;0.01,0.01,H67*-1))</f>
        <v>0</v>
      </c>
      <c r="P67" s="86">
        <f t="shared" si="7"/>
        <v>0</v>
      </c>
      <c r="R67" s="42"/>
    </row>
    <row r="68" spans="1:18">
      <c r="A68" s="105">
        <v>281</v>
      </c>
      <c r="B68" s="148">
        <f t="shared" si="71"/>
        <v>281</v>
      </c>
      <c r="C68" s="109" t="s">
        <v>504</v>
      </c>
      <c r="D68" s="107">
        <v>1595319235</v>
      </c>
      <c r="E68" s="146">
        <f>'Student Enrollment Data'!CK70</f>
        <v>2245</v>
      </c>
      <c r="F68" s="104">
        <f t="shared" si="68"/>
        <v>710609.90423162584</v>
      </c>
      <c r="G68" s="145">
        <f t="shared" si="69"/>
        <v>1.2541449623508627</v>
      </c>
      <c r="H68">
        <f t="shared" si="72"/>
        <v>0</v>
      </c>
      <c r="I68">
        <f>IF(H68&gt;'Front page'!$E$21,'Front page'!$E$21,H68)+1</f>
        <v>1</v>
      </c>
      <c r="J68" s="37">
        <f t="shared" si="73"/>
        <v>1</v>
      </c>
      <c r="K68">
        <v>281</v>
      </c>
      <c r="L68" t="s">
        <v>78</v>
      </c>
      <c r="M68">
        <f t="shared" si="74"/>
        <v>1</v>
      </c>
      <c r="O68" s="86">
        <f t="shared" ref="O68" si="76">IF(H68=1,0,IF(H68&lt;0.1,0.1,H68*-1))</f>
        <v>0.1</v>
      </c>
      <c r="P68" s="86">
        <f t="shared" si="7"/>
        <v>0.1</v>
      </c>
      <c r="R68" s="42"/>
    </row>
    <row r="69" spans="1:18">
      <c r="A69" s="105">
        <v>282</v>
      </c>
      <c r="B69" s="148">
        <f t="shared" si="71"/>
        <v>282</v>
      </c>
      <c r="C69" s="109" t="s">
        <v>505</v>
      </c>
      <c r="D69" s="107">
        <v>187560782</v>
      </c>
      <c r="E69" s="146">
        <f>'Student Enrollment Data'!CK71</f>
        <v>282</v>
      </c>
      <c r="F69" s="104">
        <f t="shared" si="68"/>
        <v>665109.15602836874</v>
      </c>
      <c r="G69" s="145">
        <f t="shared" si="69"/>
        <v>1.1738413614546535</v>
      </c>
      <c r="H69">
        <f t="shared" si="72"/>
        <v>0</v>
      </c>
      <c r="I69">
        <f>IF(H69&gt;'Front page'!$E$21,'Front page'!$E$21,H69)+1</f>
        <v>1</v>
      </c>
      <c r="J69" s="37">
        <f t="shared" si="73"/>
        <v>1</v>
      </c>
      <c r="K69">
        <v>282</v>
      </c>
      <c r="L69" t="s">
        <v>79</v>
      </c>
      <c r="M69">
        <f t="shared" si="74"/>
        <v>1</v>
      </c>
      <c r="O69" s="86">
        <f t="shared" ref="O69" si="77">IF(H69=1,0,IF(H69&gt;0.01,0.1,H69*-1))</f>
        <v>0</v>
      </c>
      <c r="P69" s="86">
        <f t="shared" ref="P69:P116" si="78">IF(O69&gt;10%,10%,O69)</f>
        <v>0</v>
      </c>
      <c r="R69" s="42"/>
    </row>
    <row r="70" spans="1:18">
      <c r="A70" s="105">
        <v>283</v>
      </c>
      <c r="B70" s="148">
        <f t="shared" si="71"/>
        <v>283</v>
      </c>
      <c r="C70" s="109" t="s">
        <v>506</v>
      </c>
      <c r="D70" s="107">
        <v>138046657</v>
      </c>
      <c r="E70" s="146">
        <f>'Student Enrollment Data'!CK72</f>
        <v>225</v>
      </c>
      <c r="F70" s="104">
        <f t="shared" si="68"/>
        <v>613540.69777777779</v>
      </c>
      <c r="G70" s="145">
        <f t="shared" si="69"/>
        <v>1.0828289483908207</v>
      </c>
      <c r="H70">
        <f t="shared" si="72"/>
        <v>0</v>
      </c>
      <c r="I70">
        <f>IF(H70&gt;'Front page'!$E$21,'Front page'!$E$21,H70)+1</f>
        <v>1</v>
      </c>
      <c r="J70" s="37">
        <f t="shared" si="73"/>
        <v>1</v>
      </c>
      <c r="K70">
        <v>283</v>
      </c>
      <c r="L70" t="s">
        <v>80</v>
      </c>
      <c r="M70">
        <f t="shared" si="74"/>
        <v>1</v>
      </c>
      <c r="O70" s="86">
        <f t="shared" ref="O70" si="79">IF(H70=1,0,IF(H70&gt;0.01,0.01,H70*-1))</f>
        <v>0</v>
      </c>
      <c r="P70" s="86">
        <f t="shared" si="78"/>
        <v>0</v>
      </c>
      <c r="R70" s="42"/>
    </row>
    <row r="71" spans="1:18">
      <c r="A71" s="105">
        <v>285</v>
      </c>
      <c r="B71" s="148">
        <f t="shared" si="71"/>
        <v>285</v>
      </c>
      <c r="C71" s="109" t="s">
        <v>507</v>
      </c>
      <c r="D71" s="107">
        <v>268533345</v>
      </c>
      <c r="E71" s="146">
        <f>'Student Enrollment Data'!CK73</f>
        <v>446.5</v>
      </c>
      <c r="F71" s="104">
        <f t="shared" si="68"/>
        <v>601418.46584546473</v>
      </c>
      <c r="G71" s="145">
        <f t="shared" si="69"/>
        <v>1.0614345996492307</v>
      </c>
      <c r="H71">
        <f t="shared" si="72"/>
        <v>0</v>
      </c>
      <c r="I71">
        <f>IF(H71&gt;'Front page'!$E$21,'Front page'!$E$21,H71)+1</f>
        <v>1</v>
      </c>
      <c r="J71" s="37">
        <f t="shared" si="73"/>
        <v>1</v>
      </c>
      <c r="K71">
        <v>285</v>
      </c>
      <c r="L71" t="s">
        <v>81</v>
      </c>
      <c r="M71">
        <f t="shared" si="74"/>
        <v>1</v>
      </c>
      <c r="O71" s="86">
        <f t="shared" ref="O71" si="80">IF(H71=1,0,IF(H71&lt;0.1,0.1,H71*-1))</f>
        <v>0.1</v>
      </c>
      <c r="P71" s="86">
        <f t="shared" si="78"/>
        <v>0.1</v>
      </c>
      <c r="R71" s="42"/>
    </row>
    <row r="72" spans="1:18">
      <c r="A72" s="105">
        <v>287</v>
      </c>
      <c r="B72" s="148">
        <f t="shared" si="71"/>
        <v>287</v>
      </c>
      <c r="C72" s="110" t="s">
        <v>508</v>
      </c>
      <c r="D72" s="107">
        <v>150915192</v>
      </c>
      <c r="E72" s="146">
        <f>'Student Enrollment Data'!CK74</f>
        <v>261.5</v>
      </c>
      <c r="F72" s="104">
        <f t="shared" si="68"/>
        <v>577113.54493307834</v>
      </c>
      <c r="G72" s="145">
        <f t="shared" si="69"/>
        <v>1.0185392024121698</v>
      </c>
      <c r="H72">
        <f t="shared" si="72"/>
        <v>0</v>
      </c>
      <c r="I72">
        <f>IF(H72&gt;'Front page'!$E$21,'Front page'!$E$21,H72)+1</f>
        <v>1</v>
      </c>
      <c r="J72" s="37">
        <f t="shared" si="73"/>
        <v>1</v>
      </c>
      <c r="K72">
        <v>287</v>
      </c>
      <c r="L72" t="s">
        <v>82</v>
      </c>
      <c r="M72">
        <f t="shared" si="74"/>
        <v>1</v>
      </c>
      <c r="O72" s="86">
        <f t="shared" ref="O72" si="81">IF(H72=1,0,IF(H72&gt;0.01,0.1,H72*-1))</f>
        <v>0</v>
      </c>
      <c r="P72" s="86">
        <f t="shared" si="78"/>
        <v>0</v>
      </c>
      <c r="R72" s="42"/>
    </row>
    <row r="73" spans="1:18">
      <c r="A73" s="105">
        <v>288</v>
      </c>
      <c r="B73" s="148">
        <f t="shared" si="71"/>
        <v>288</v>
      </c>
      <c r="C73" s="110" t="s">
        <v>422</v>
      </c>
      <c r="D73" s="107">
        <v>197730914</v>
      </c>
      <c r="E73" s="146">
        <f>'Student Enrollment Data'!CK75</f>
        <v>232.5</v>
      </c>
      <c r="F73" s="104">
        <f t="shared" si="68"/>
        <v>850455.54408602149</v>
      </c>
      <c r="G73" s="145">
        <f t="shared" si="69"/>
        <v>1.5009564741039489</v>
      </c>
      <c r="H73">
        <f t="shared" si="72"/>
        <v>0</v>
      </c>
      <c r="I73">
        <f>IF(H73&gt;'Front page'!$E$21,'Front page'!$E$21,H73)+1</f>
        <v>1</v>
      </c>
      <c r="J73" s="37">
        <f t="shared" si="73"/>
        <v>1</v>
      </c>
      <c r="K73">
        <v>288</v>
      </c>
      <c r="L73" t="s">
        <v>83</v>
      </c>
      <c r="M73">
        <f t="shared" si="74"/>
        <v>1</v>
      </c>
      <c r="O73" s="86">
        <f t="shared" ref="O73" si="82">IF(H73=1,0,IF(H73&gt;0.01,0.01,H73*-1))</f>
        <v>0</v>
      </c>
      <c r="P73" s="86">
        <f t="shared" si="78"/>
        <v>0</v>
      </c>
      <c r="R73" s="42"/>
    </row>
    <row r="74" spans="1:18">
      <c r="A74" s="105">
        <v>291</v>
      </c>
      <c r="B74" s="148">
        <f t="shared" si="71"/>
        <v>291</v>
      </c>
      <c r="C74" s="109" t="s">
        <v>509</v>
      </c>
      <c r="D74" s="107">
        <v>653307686</v>
      </c>
      <c r="E74" s="146">
        <f>'Student Enrollment Data'!CK76</f>
        <v>751.5</v>
      </c>
      <c r="F74" s="104">
        <f t="shared" si="68"/>
        <v>869338.23819028609</v>
      </c>
      <c r="G74" s="145">
        <f t="shared" si="69"/>
        <v>1.534282263043075</v>
      </c>
      <c r="H74">
        <f t="shared" si="72"/>
        <v>0</v>
      </c>
      <c r="I74">
        <f>IF(H74&gt;'Front page'!$E$21,'Front page'!$E$21,H74)+1</f>
        <v>1</v>
      </c>
      <c r="J74" s="37">
        <f t="shared" si="73"/>
        <v>1</v>
      </c>
      <c r="K74">
        <v>291</v>
      </c>
      <c r="L74" t="s">
        <v>84</v>
      </c>
      <c r="M74">
        <f t="shared" si="74"/>
        <v>1</v>
      </c>
      <c r="O74" s="86">
        <f t="shared" ref="O74" si="83">IF(H74=1,0,IF(H74&lt;0.1,0.1,H74*-1))</f>
        <v>0.1</v>
      </c>
      <c r="P74" s="86">
        <f t="shared" si="78"/>
        <v>0.1</v>
      </c>
      <c r="R74" s="42"/>
    </row>
    <row r="75" spans="1:18">
      <c r="A75" s="105">
        <v>292</v>
      </c>
      <c r="B75" s="148">
        <f t="shared" si="71"/>
        <v>292</v>
      </c>
      <c r="C75" s="109" t="s">
        <v>424</v>
      </c>
      <c r="D75" s="107">
        <v>89531313</v>
      </c>
      <c r="E75" s="146">
        <f>'Student Enrollment Data'!CK77</f>
        <v>99.5</v>
      </c>
      <c r="F75" s="104">
        <f t="shared" si="68"/>
        <v>899812.19095477392</v>
      </c>
      <c r="G75" s="145">
        <f t="shared" si="69"/>
        <v>1.5880652938099007</v>
      </c>
      <c r="H75">
        <f t="shared" si="72"/>
        <v>0</v>
      </c>
      <c r="I75">
        <f>IF(H75&gt;'Front page'!$E$21,'Front page'!$E$21,H75)+1</f>
        <v>1</v>
      </c>
      <c r="J75" s="37">
        <f t="shared" si="73"/>
        <v>1</v>
      </c>
      <c r="K75">
        <v>292</v>
      </c>
      <c r="L75" t="s">
        <v>85</v>
      </c>
      <c r="M75">
        <f t="shared" si="74"/>
        <v>1</v>
      </c>
      <c r="O75" s="86">
        <f t="shared" ref="O75" si="84">IF(H75=1,0,IF(H75&gt;0.01,0.1,H75*-1))</f>
        <v>0</v>
      </c>
      <c r="P75" s="86">
        <f t="shared" si="78"/>
        <v>0</v>
      </c>
      <c r="R75" s="42"/>
    </row>
    <row r="76" spans="1:18">
      <c r="A76" s="105">
        <v>302</v>
      </c>
      <c r="B76" s="148">
        <f t="shared" si="71"/>
        <v>302</v>
      </c>
      <c r="C76" s="106" t="s">
        <v>510</v>
      </c>
      <c r="D76" s="107">
        <v>127881849</v>
      </c>
      <c r="E76" s="146">
        <f>'Student Enrollment Data'!CK78</f>
        <v>137</v>
      </c>
      <c r="F76" s="104">
        <f t="shared" si="68"/>
        <v>933444.15328467148</v>
      </c>
      <c r="G76" s="145">
        <f t="shared" si="69"/>
        <v>1.6474218491841508</v>
      </c>
      <c r="H76">
        <f t="shared" si="72"/>
        <v>0</v>
      </c>
      <c r="I76">
        <f>IF(H76&gt;'Front page'!$E$21,'Front page'!$E$21,H76)+1</f>
        <v>1</v>
      </c>
      <c r="J76" s="37">
        <f t="shared" si="73"/>
        <v>1</v>
      </c>
      <c r="K76">
        <v>302</v>
      </c>
      <c r="L76" t="s">
        <v>86</v>
      </c>
      <c r="M76">
        <f t="shared" si="74"/>
        <v>1</v>
      </c>
      <c r="O76" s="86">
        <f t="shared" ref="O76" si="85">IF(H76=1,0,IF(H76&gt;0.01,0.01,H76*-1))</f>
        <v>0</v>
      </c>
      <c r="P76" s="86">
        <f t="shared" si="78"/>
        <v>0</v>
      </c>
      <c r="R76" s="42"/>
    </row>
    <row r="77" spans="1:18">
      <c r="A77" s="105">
        <v>304</v>
      </c>
      <c r="B77" s="148">
        <f t="shared" si="71"/>
        <v>304</v>
      </c>
      <c r="C77" s="106" t="s">
        <v>511</v>
      </c>
      <c r="D77" s="107">
        <v>202036305</v>
      </c>
      <c r="E77" s="146">
        <f>'Student Enrollment Data'!CK79</f>
        <v>407</v>
      </c>
      <c r="F77" s="104">
        <f t="shared" si="68"/>
        <v>496403.69778869778</v>
      </c>
      <c r="G77" s="145">
        <f t="shared" si="69"/>
        <v>0.87609558094634865</v>
      </c>
      <c r="H77">
        <f t="shared" si="72"/>
        <v>0.12390441905365135</v>
      </c>
      <c r="I77">
        <f>IF(H77&gt;'Front page'!$E$21,'Front page'!$E$21,H77)+1</f>
        <v>1.1000000000000001</v>
      </c>
      <c r="J77" s="37">
        <f t="shared" si="73"/>
        <v>1.1000000000000001</v>
      </c>
      <c r="K77">
        <v>304</v>
      </c>
      <c r="L77" t="s">
        <v>87</v>
      </c>
      <c r="M77">
        <f t="shared" si="74"/>
        <v>1.1000000000000001</v>
      </c>
      <c r="O77" s="86">
        <f t="shared" ref="O77" si="86">IF(H77=1,0,IF(H77&lt;0.1,0.1,H77*-1))</f>
        <v>-0.12390441905365135</v>
      </c>
      <c r="P77" s="86">
        <f t="shared" si="78"/>
        <v>-0.12390441905365135</v>
      </c>
      <c r="R77" s="42"/>
    </row>
    <row r="78" spans="1:18">
      <c r="A78" s="105">
        <v>305</v>
      </c>
      <c r="B78" s="148">
        <f t="shared" si="71"/>
        <v>305</v>
      </c>
      <c r="C78" s="109" t="s">
        <v>512</v>
      </c>
      <c r="D78" s="107">
        <v>157552909</v>
      </c>
      <c r="E78" s="146">
        <f>'Student Enrollment Data'!CK80</f>
        <v>159</v>
      </c>
      <c r="F78" s="104">
        <f t="shared" si="68"/>
        <v>990898.79874213831</v>
      </c>
      <c r="G78" s="145">
        <f t="shared" si="69"/>
        <v>1.7488227074258476</v>
      </c>
      <c r="H78">
        <f t="shared" si="72"/>
        <v>0</v>
      </c>
      <c r="I78">
        <f>IF(H78&gt;'Front page'!$E$21,'Front page'!$E$21,H78)+1</f>
        <v>1</v>
      </c>
      <c r="J78" s="37">
        <f t="shared" si="73"/>
        <v>1</v>
      </c>
      <c r="K78">
        <v>305</v>
      </c>
      <c r="L78" t="s">
        <v>88</v>
      </c>
      <c r="M78">
        <f t="shared" si="74"/>
        <v>1</v>
      </c>
      <c r="O78" s="86">
        <f t="shared" ref="O78" si="87">IF(H78=1,0,IF(H78&gt;0.01,0.1,H78*-1))</f>
        <v>0</v>
      </c>
      <c r="P78" s="86">
        <f t="shared" si="78"/>
        <v>0</v>
      </c>
      <c r="R78" s="42"/>
    </row>
    <row r="79" spans="1:18">
      <c r="A79" s="105">
        <v>312</v>
      </c>
      <c r="B79" s="148">
        <f t="shared" si="71"/>
        <v>312</v>
      </c>
      <c r="C79" s="109" t="s">
        <v>513</v>
      </c>
      <c r="D79" s="107">
        <v>215975510</v>
      </c>
      <c r="E79" s="146">
        <f>'Student Enrollment Data'!CK81</f>
        <v>478.5</v>
      </c>
      <c r="F79" s="104">
        <f t="shared" si="68"/>
        <v>451359.47753396031</v>
      </c>
      <c r="G79" s="145">
        <f t="shared" si="69"/>
        <v>0.79659769950802872</v>
      </c>
      <c r="H79">
        <f t="shared" si="72"/>
        <v>0.20340230049197128</v>
      </c>
      <c r="I79">
        <f>IF(H79&gt;'Front page'!$E$21,'Front page'!$E$21,H79)+1</f>
        <v>1.1000000000000001</v>
      </c>
      <c r="J79" s="37">
        <f t="shared" si="73"/>
        <v>1.1000000000000001</v>
      </c>
      <c r="K79">
        <v>312</v>
      </c>
      <c r="L79" t="s">
        <v>89</v>
      </c>
      <c r="M79">
        <f t="shared" si="74"/>
        <v>1.1000000000000001</v>
      </c>
      <c r="O79" s="86">
        <f t="shared" ref="O79" si="88">IF(H79=1,0,IF(H79&gt;0.01,0.01,H79*-1))</f>
        <v>0.01</v>
      </c>
      <c r="P79" s="86">
        <f t="shared" si="78"/>
        <v>0.01</v>
      </c>
      <c r="R79" s="42"/>
    </row>
    <row r="80" spans="1:18">
      <c r="A80" s="105">
        <v>314</v>
      </c>
      <c r="B80" s="148">
        <f t="shared" si="71"/>
        <v>314</v>
      </c>
      <c r="C80" s="109" t="s">
        <v>514</v>
      </c>
      <c r="D80" s="107">
        <v>59042161</v>
      </c>
      <c r="E80" s="146">
        <f>'Student Enrollment Data'!CK82</f>
        <v>203</v>
      </c>
      <c r="F80" s="104">
        <f t="shared" si="68"/>
        <v>290848.08374384238</v>
      </c>
      <c r="G80" s="145">
        <f t="shared" si="69"/>
        <v>0.51331350275951837</v>
      </c>
      <c r="H80">
        <f t="shared" si="72"/>
        <v>0.48668649724048163</v>
      </c>
      <c r="I80">
        <f>IF(H80&gt;'Front page'!$E$21,'Front page'!$E$21,H80)+1</f>
        <v>1.1000000000000001</v>
      </c>
      <c r="J80" s="37">
        <f t="shared" si="73"/>
        <v>1.1000000000000001</v>
      </c>
      <c r="K80">
        <v>314</v>
      </c>
      <c r="L80" t="s">
        <v>90</v>
      </c>
      <c r="M80">
        <f t="shared" si="74"/>
        <v>1.1000000000000001</v>
      </c>
      <c r="O80" s="86">
        <f t="shared" ref="O80" si="89">IF(H80=1,0,IF(H80&lt;0.1,0.1,H80*-1))</f>
        <v>-0.48668649724048163</v>
      </c>
      <c r="P80" s="86">
        <f t="shared" si="78"/>
        <v>-0.48668649724048163</v>
      </c>
      <c r="R80" s="42"/>
    </row>
    <row r="81" spans="1:18">
      <c r="A81" s="105">
        <v>316</v>
      </c>
      <c r="B81" s="148">
        <f t="shared" si="71"/>
        <v>316</v>
      </c>
      <c r="C81" s="109" t="s">
        <v>515</v>
      </c>
      <c r="D81" s="107">
        <v>77772805</v>
      </c>
      <c r="E81" s="146">
        <f>'Student Enrollment Data'!CK83</f>
        <v>177</v>
      </c>
      <c r="F81" s="104">
        <f t="shared" si="68"/>
        <v>439394.37853107345</v>
      </c>
      <c r="G81" s="145">
        <f t="shared" si="69"/>
        <v>0.77548067236115037</v>
      </c>
      <c r="H81">
        <f t="shared" si="72"/>
        <v>0.22451932763884963</v>
      </c>
      <c r="I81">
        <f>IF(H81&gt;'Front page'!$E$21,'Front page'!$E$21,H81)+1</f>
        <v>1.1000000000000001</v>
      </c>
      <c r="J81" s="37">
        <f t="shared" si="73"/>
        <v>1.1000000000000001</v>
      </c>
      <c r="K81">
        <v>316</v>
      </c>
      <c r="L81" t="s">
        <v>91</v>
      </c>
      <c r="M81">
        <f t="shared" si="74"/>
        <v>1.1000000000000001</v>
      </c>
      <c r="O81" s="86">
        <f t="shared" ref="O81" si="90">IF(H81=1,0,IF(H81&gt;0.01,0.1,H81*-1))</f>
        <v>0.1</v>
      </c>
      <c r="P81" s="86">
        <f t="shared" si="78"/>
        <v>0.1</v>
      </c>
      <c r="R81" s="42"/>
    </row>
    <row r="82" spans="1:18">
      <c r="A82" s="105">
        <v>321</v>
      </c>
      <c r="B82" s="148">
        <f t="shared" si="71"/>
        <v>321</v>
      </c>
      <c r="C82" s="109" t="s">
        <v>516</v>
      </c>
      <c r="D82" s="107">
        <v>1652319610</v>
      </c>
      <c r="E82" s="146">
        <f>'Student Enrollment Data'!CK84</f>
        <v>5004</v>
      </c>
      <c r="F82" s="104">
        <f t="shared" si="68"/>
        <v>330199.76219024783</v>
      </c>
      <c r="G82" s="145">
        <f t="shared" si="69"/>
        <v>0.58276470093409904</v>
      </c>
      <c r="H82">
        <f t="shared" si="72"/>
        <v>0.41723529906590096</v>
      </c>
      <c r="I82">
        <f>IF(H82&gt;'Front page'!$E$21,'Front page'!$E$21,H82)+1</f>
        <v>1.1000000000000001</v>
      </c>
      <c r="J82" s="37">
        <f t="shared" si="73"/>
        <v>1.1000000000000001</v>
      </c>
      <c r="K82">
        <v>321</v>
      </c>
      <c r="L82" t="s">
        <v>92</v>
      </c>
      <c r="M82">
        <f t="shared" si="74"/>
        <v>1.1000000000000001</v>
      </c>
      <c r="O82" s="86">
        <f t="shared" ref="O82" si="91">IF(H82=1,0,IF(H82&gt;0.01,0.01,H82*-1))</f>
        <v>0.01</v>
      </c>
      <c r="P82" s="86">
        <f t="shared" si="78"/>
        <v>0.01</v>
      </c>
      <c r="R82" s="42"/>
    </row>
    <row r="83" spans="1:18">
      <c r="A83" s="105">
        <v>322</v>
      </c>
      <c r="B83" s="148">
        <f t="shared" si="71"/>
        <v>322</v>
      </c>
      <c r="C83" s="109" t="s">
        <v>517</v>
      </c>
      <c r="D83" s="107">
        <v>295914424</v>
      </c>
      <c r="E83" s="146">
        <f>'Student Enrollment Data'!CK85</f>
        <v>1559</v>
      </c>
      <c r="F83" s="104">
        <f t="shared" si="68"/>
        <v>189810.4066709429</v>
      </c>
      <c r="G83" s="145">
        <f t="shared" si="69"/>
        <v>0.33499359340555779</v>
      </c>
      <c r="H83">
        <f t="shared" si="72"/>
        <v>0.66500640659444221</v>
      </c>
      <c r="I83">
        <f>IF(H83&gt;'Front page'!$E$21,'Front page'!$E$21,H83)+1</f>
        <v>1.1000000000000001</v>
      </c>
      <c r="J83" s="37">
        <f t="shared" si="73"/>
        <v>1.1000000000000001</v>
      </c>
      <c r="K83">
        <v>322</v>
      </c>
      <c r="L83" t="s">
        <v>93</v>
      </c>
      <c r="M83">
        <f t="shared" si="74"/>
        <v>1.1000000000000001</v>
      </c>
      <c r="O83" s="86">
        <f t="shared" ref="O83" si="92">IF(H83=1,0,IF(H83&lt;0.1,0.1,H83*-1))</f>
        <v>-0.66500640659444221</v>
      </c>
      <c r="P83" s="86">
        <f t="shared" si="78"/>
        <v>-0.66500640659444221</v>
      </c>
      <c r="R83" s="42"/>
    </row>
    <row r="84" spans="1:18">
      <c r="A84" s="105">
        <v>331</v>
      </c>
      <c r="B84" s="148">
        <f t="shared" si="71"/>
        <v>331</v>
      </c>
      <c r="C84" s="109" t="s">
        <v>518</v>
      </c>
      <c r="D84" s="107">
        <v>1500396158</v>
      </c>
      <c r="E84" s="146">
        <f>'Student Enrollment Data'!CK86</f>
        <v>4038</v>
      </c>
      <c r="F84" s="104">
        <f t="shared" si="68"/>
        <v>371569.13273897971</v>
      </c>
      <c r="G84" s="145">
        <f t="shared" si="69"/>
        <v>0.65577689420688901</v>
      </c>
      <c r="H84">
        <f t="shared" si="72"/>
        <v>0.34422310579311099</v>
      </c>
      <c r="I84">
        <f>IF(H84&gt;'Front page'!$E$21,'Front page'!$E$21,H84)+1</f>
        <v>1.1000000000000001</v>
      </c>
      <c r="J84" s="37">
        <f t="shared" si="73"/>
        <v>1.1000000000000001</v>
      </c>
      <c r="K84">
        <v>331</v>
      </c>
      <c r="L84" t="s">
        <v>94</v>
      </c>
      <c r="M84">
        <f t="shared" si="74"/>
        <v>1.1000000000000001</v>
      </c>
      <c r="O84" s="86">
        <f t="shared" ref="O84" si="93">IF(H84=1,0,IF(H84&gt;0.01,0.1,H84*-1))</f>
        <v>0.1</v>
      </c>
      <c r="P84" s="86">
        <f t="shared" si="78"/>
        <v>0.1</v>
      </c>
      <c r="R84" s="42"/>
    </row>
    <row r="85" spans="1:18">
      <c r="A85" s="105">
        <v>340</v>
      </c>
      <c r="B85" s="148">
        <f t="shared" si="71"/>
        <v>340</v>
      </c>
      <c r="C85" s="109" t="s">
        <v>519</v>
      </c>
      <c r="D85" s="107">
        <v>2949415628</v>
      </c>
      <c r="E85" s="146">
        <f>'Student Enrollment Data'!CK87</f>
        <v>4512</v>
      </c>
      <c r="F85" s="104">
        <f t="shared" si="68"/>
        <v>653682.54166666663</v>
      </c>
      <c r="G85" s="145">
        <f t="shared" si="69"/>
        <v>1.1536746979264407</v>
      </c>
      <c r="H85">
        <f t="shared" si="72"/>
        <v>0</v>
      </c>
      <c r="I85">
        <f>IF(H85&gt;'Front page'!$E$21,'Front page'!$E$21,H85)+1</f>
        <v>1</v>
      </c>
      <c r="J85" s="37">
        <f t="shared" si="73"/>
        <v>1</v>
      </c>
      <c r="K85">
        <v>340</v>
      </c>
      <c r="L85" t="s">
        <v>95</v>
      </c>
      <c r="M85">
        <f t="shared" si="74"/>
        <v>1</v>
      </c>
      <c r="O85" s="86">
        <f t="shared" ref="O85" si="94">IF(H85=1,0,IF(H85&gt;0.01,0.01,H85*-1))</f>
        <v>0</v>
      </c>
      <c r="P85" s="86">
        <f t="shared" si="78"/>
        <v>0</v>
      </c>
      <c r="R85" s="42"/>
    </row>
    <row r="86" spans="1:18">
      <c r="A86" s="105">
        <v>341</v>
      </c>
      <c r="B86" s="148">
        <f t="shared" si="71"/>
        <v>341</v>
      </c>
      <c r="C86" s="109" t="s">
        <v>520</v>
      </c>
      <c r="D86" s="107">
        <v>161929883</v>
      </c>
      <c r="E86" s="146">
        <f>'Student Enrollment Data'!CK88</f>
        <v>481.5</v>
      </c>
      <c r="F86" s="104">
        <f t="shared" si="68"/>
        <v>336302.97611630324</v>
      </c>
      <c r="G86" s="145">
        <f t="shared" si="69"/>
        <v>0.59353617337478859</v>
      </c>
      <c r="H86">
        <f t="shared" si="72"/>
        <v>0.40646382662521141</v>
      </c>
      <c r="I86">
        <f>IF(H86&gt;'Front page'!$E$21,'Front page'!$E$21,H86)+1</f>
        <v>1.1000000000000001</v>
      </c>
      <c r="J86" s="37">
        <f t="shared" si="73"/>
        <v>1.1000000000000001</v>
      </c>
      <c r="K86">
        <v>341</v>
      </c>
      <c r="L86" t="s">
        <v>96</v>
      </c>
      <c r="M86">
        <f t="shared" si="74"/>
        <v>1.1000000000000001</v>
      </c>
      <c r="O86" s="86">
        <f t="shared" ref="O86" si="95">IF(H86=1,0,IF(H86&lt;0.1,0.1,H86*-1))</f>
        <v>-0.40646382662521141</v>
      </c>
      <c r="P86" s="86">
        <f t="shared" si="78"/>
        <v>-0.40646382662521141</v>
      </c>
      <c r="R86" s="42"/>
    </row>
    <row r="87" spans="1:18">
      <c r="A87" s="105">
        <v>342</v>
      </c>
      <c r="B87" s="148">
        <f t="shared" si="71"/>
        <v>342</v>
      </c>
      <c r="C87" s="106" t="s">
        <v>521</v>
      </c>
      <c r="D87" s="107">
        <v>59860146</v>
      </c>
      <c r="E87" s="146">
        <f>'Student Enrollment Data'!CK89</f>
        <v>85</v>
      </c>
      <c r="F87" s="104">
        <f t="shared" si="68"/>
        <v>704237.01176470588</v>
      </c>
      <c r="G87" s="145">
        <f t="shared" si="69"/>
        <v>1.2428975382221017</v>
      </c>
      <c r="H87">
        <f t="shared" si="72"/>
        <v>0</v>
      </c>
      <c r="I87">
        <f>IF(H87&gt;'Front page'!$E$21,'Front page'!$E$21,H87)+1</f>
        <v>1</v>
      </c>
      <c r="J87" s="37">
        <f t="shared" si="73"/>
        <v>1</v>
      </c>
      <c r="K87">
        <v>342</v>
      </c>
      <c r="L87" t="s">
        <v>97</v>
      </c>
      <c r="M87">
        <f t="shared" si="74"/>
        <v>1</v>
      </c>
      <c r="O87" s="86">
        <f t="shared" ref="O87" si="96">IF(H87=1,0,IF(H87&gt;0.01,0.1,H87*-1))</f>
        <v>0</v>
      </c>
      <c r="P87" s="86">
        <f t="shared" si="78"/>
        <v>0</v>
      </c>
      <c r="R87" s="42"/>
    </row>
    <row r="88" spans="1:18">
      <c r="A88" s="105">
        <v>351</v>
      </c>
      <c r="B88" s="148">
        <f t="shared" si="71"/>
        <v>351</v>
      </c>
      <c r="C88" s="109" t="s">
        <v>522</v>
      </c>
      <c r="D88" s="107">
        <v>346845776</v>
      </c>
      <c r="E88" s="146">
        <f>'Student Enrollment Data'!CK90</f>
        <v>2273</v>
      </c>
      <c r="F88" s="104">
        <f t="shared" si="68"/>
        <v>152593.83018037837</v>
      </c>
      <c r="G88" s="145">
        <f t="shared" si="69"/>
        <v>0.2693106052518025</v>
      </c>
      <c r="H88">
        <f t="shared" si="72"/>
        <v>0.7306893947481975</v>
      </c>
      <c r="I88">
        <f>IF(H88&gt;'Front page'!$E$21,'Front page'!$E$21,H88)+1</f>
        <v>1.1000000000000001</v>
      </c>
      <c r="J88" s="37">
        <f t="shared" si="73"/>
        <v>1.1000000000000001</v>
      </c>
      <c r="K88">
        <v>351</v>
      </c>
      <c r="L88" t="s">
        <v>98</v>
      </c>
      <c r="M88">
        <f t="shared" si="74"/>
        <v>1.1000000000000001</v>
      </c>
      <c r="O88" s="86">
        <f t="shared" ref="O88" si="97">IF(H88=1,0,IF(H88&gt;0.01,0.01,H88*-1))</f>
        <v>0.01</v>
      </c>
      <c r="P88" s="86">
        <f t="shared" si="78"/>
        <v>0.01</v>
      </c>
      <c r="R88" s="42"/>
    </row>
    <row r="89" spans="1:18">
      <c r="A89" s="105">
        <v>363</v>
      </c>
      <c r="B89" s="148">
        <f t="shared" si="71"/>
        <v>363</v>
      </c>
      <c r="C89" s="106" t="s">
        <v>523</v>
      </c>
      <c r="D89" s="107">
        <v>271343437</v>
      </c>
      <c r="E89" s="146">
        <f>'Student Enrollment Data'!CK91</f>
        <v>826.5</v>
      </c>
      <c r="F89" s="104">
        <f t="shared" si="68"/>
        <v>328304.21899576526</v>
      </c>
      <c r="G89" s="145">
        <f t="shared" si="69"/>
        <v>0.57941928464574977</v>
      </c>
      <c r="H89">
        <f t="shared" si="72"/>
        <v>0.42058071535425023</v>
      </c>
      <c r="I89">
        <f>IF(H89&gt;'Front page'!$E$21,'Front page'!$E$21,H89)+1</f>
        <v>1.1000000000000001</v>
      </c>
      <c r="J89" s="37">
        <f t="shared" si="73"/>
        <v>1.1000000000000001</v>
      </c>
      <c r="K89">
        <v>363</v>
      </c>
      <c r="L89" t="s">
        <v>99</v>
      </c>
      <c r="M89">
        <f t="shared" si="74"/>
        <v>1.1000000000000001</v>
      </c>
      <c r="O89" s="86">
        <f t="shared" ref="O89" si="98">IF(H89=1,0,IF(H89&lt;0.1,0.1,H89*-1))</f>
        <v>-0.42058071535425023</v>
      </c>
      <c r="P89" s="86">
        <f t="shared" si="78"/>
        <v>-0.42058071535425023</v>
      </c>
      <c r="R89" s="42"/>
    </row>
    <row r="90" spans="1:18">
      <c r="A90" s="105">
        <v>364</v>
      </c>
      <c r="B90" s="148">
        <f t="shared" si="71"/>
        <v>364</v>
      </c>
      <c r="C90" s="110" t="s">
        <v>524</v>
      </c>
      <c r="D90" s="107">
        <v>20593919</v>
      </c>
      <c r="E90" s="146">
        <f>'Student Enrollment Data'!CK92</f>
        <v>6</v>
      </c>
      <c r="F90" s="104">
        <f t="shared" si="68"/>
        <v>3432319.8333333335</v>
      </c>
      <c r="G90" s="145">
        <f t="shared" si="69"/>
        <v>6.0576507624200584</v>
      </c>
      <c r="H90">
        <f t="shared" si="72"/>
        <v>0</v>
      </c>
      <c r="I90">
        <f>IF(H90&gt;'Front page'!$E$21,'Front page'!$E$21,H90)+1</f>
        <v>1</v>
      </c>
      <c r="J90" s="37">
        <f t="shared" si="73"/>
        <v>1</v>
      </c>
      <c r="K90">
        <v>364</v>
      </c>
      <c r="L90" t="s">
        <v>100</v>
      </c>
      <c r="M90">
        <f t="shared" si="74"/>
        <v>1</v>
      </c>
      <c r="O90" s="86">
        <f t="shared" ref="O90" si="99">IF(H90=1,0,IF(H90&gt;0.01,0.1,H90*-1))</f>
        <v>0</v>
      </c>
      <c r="P90" s="86">
        <f t="shared" si="78"/>
        <v>0</v>
      </c>
      <c r="R90" s="42"/>
    </row>
    <row r="91" spans="1:18">
      <c r="A91" s="105">
        <v>365</v>
      </c>
      <c r="B91" s="148">
        <f t="shared" si="71"/>
        <v>365</v>
      </c>
      <c r="C91" s="109" t="s">
        <v>525</v>
      </c>
      <c r="D91" s="107">
        <v>204785312</v>
      </c>
      <c r="E91" s="146">
        <f>'Student Enrollment Data'!CK93</f>
        <v>290.5</v>
      </c>
      <c r="F91" s="104">
        <f t="shared" si="68"/>
        <v>704940.83304647158</v>
      </c>
      <c r="G91" s="145">
        <f t="shared" si="69"/>
        <v>1.2441397020445666</v>
      </c>
      <c r="H91">
        <f t="shared" si="72"/>
        <v>0</v>
      </c>
      <c r="I91">
        <f>IF(H91&gt;'Front page'!$E$21,'Front page'!$E$21,H91)+1</f>
        <v>1</v>
      </c>
      <c r="J91" s="37">
        <f t="shared" si="73"/>
        <v>1</v>
      </c>
      <c r="K91">
        <v>365</v>
      </c>
      <c r="L91" t="s">
        <v>101</v>
      </c>
      <c r="M91">
        <f t="shared" si="74"/>
        <v>1</v>
      </c>
      <c r="O91" s="86">
        <f t="shared" ref="O91" si="100">IF(H91=1,0,IF(H91&gt;0.01,0.01,H91*-1))</f>
        <v>0</v>
      </c>
      <c r="P91" s="86">
        <f t="shared" si="78"/>
        <v>0</v>
      </c>
      <c r="R91" s="42"/>
    </row>
    <row r="92" spans="1:18">
      <c r="A92" s="105">
        <v>370</v>
      </c>
      <c r="B92" s="148">
        <f t="shared" si="71"/>
        <v>370</v>
      </c>
      <c r="C92" s="110" t="s">
        <v>526</v>
      </c>
      <c r="D92" s="107">
        <v>305135936</v>
      </c>
      <c r="E92" s="146">
        <f>'Student Enrollment Data'!CK94</f>
        <v>1168</v>
      </c>
      <c r="F92" s="104">
        <f t="shared" si="68"/>
        <v>261246.5205479452</v>
      </c>
      <c r="G92" s="145">
        <f t="shared" si="69"/>
        <v>0.46107013950385478</v>
      </c>
      <c r="H92">
        <f t="shared" si="72"/>
        <v>0.53892986049614522</v>
      </c>
      <c r="I92">
        <f>IF(H92&gt;'Front page'!$E$21,'Front page'!$E$21,H92)+1</f>
        <v>1.1000000000000001</v>
      </c>
      <c r="J92" s="37">
        <f t="shared" si="73"/>
        <v>1.1000000000000001</v>
      </c>
      <c r="K92">
        <v>370</v>
      </c>
      <c r="L92" t="s">
        <v>102</v>
      </c>
      <c r="M92">
        <f t="shared" si="74"/>
        <v>1.1000000000000001</v>
      </c>
      <c r="O92" s="86">
        <f t="shared" ref="O92" si="101">IF(H92=1,0,IF(H92&lt;0.1,0.1,H92*-1))</f>
        <v>-0.53892986049614522</v>
      </c>
      <c r="P92" s="86">
        <f t="shared" si="78"/>
        <v>-0.53892986049614522</v>
      </c>
      <c r="R92" s="42"/>
    </row>
    <row r="93" spans="1:18">
      <c r="A93" s="105">
        <v>371</v>
      </c>
      <c r="B93" s="148">
        <f t="shared" si="71"/>
        <v>371</v>
      </c>
      <c r="C93" s="106" t="s">
        <v>527</v>
      </c>
      <c r="D93" s="107">
        <v>444945127</v>
      </c>
      <c r="E93" s="146">
        <f>'Student Enrollment Data'!CK95</f>
        <v>1483</v>
      </c>
      <c r="F93" s="104">
        <f t="shared" si="68"/>
        <v>300030.42953472689</v>
      </c>
      <c r="G93" s="145">
        <f t="shared" si="69"/>
        <v>0.52951928971467432</v>
      </c>
      <c r="H93">
        <f t="shared" si="72"/>
        <v>0.47048071028532568</v>
      </c>
      <c r="I93">
        <f>IF(H93&gt;'Front page'!$E$21,'Front page'!$E$21,H93)+1</f>
        <v>1.1000000000000001</v>
      </c>
      <c r="J93" s="37">
        <f t="shared" si="73"/>
        <v>1.1000000000000001</v>
      </c>
      <c r="K93">
        <v>371</v>
      </c>
      <c r="L93" t="s">
        <v>103</v>
      </c>
      <c r="M93">
        <f t="shared" si="74"/>
        <v>1.1000000000000001</v>
      </c>
      <c r="O93" s="86">
        <f t="shared" ref="O93" si="102">IF(H93=1,0,IF(H93&gt;0.01,0.1,H93*-1))</f>
        <v>0.1</v>
      </c>
      <c r="P93" s="86">
        <f t="shared" si="78"/>
        <v>0.1</v>
      </c>
      <c r="R93" s="42"/>
    </row>
    <row r="94" spans="1:18">
      <c r="A94" s="105">
        <v>372</v>
      </c>
      <c r="B94" s="148">
        <f t="shared" si="71"/>
        <v>372</v>
      </c>
      <c r="C94" s="110" t="s">
        <v>528</v>
      </c>
      <c r="D94" s="107">
        <v>454134504</v>
      </c>
      <c r="E94" s="146">
        <f>'Student Enrollment Data'!CK96</f>
        <v>947.5</v>
      </c>
      <c r="F94" s="104">
        <f t="shared" si="68"/>
        <v>479297.62955145119</v>
      </c>
      <c r="G94" s="145">
        <f t="shared" si="69"/>
        <v>0.84590533285436587</v>
      </c>
      <c r="H94">
        <f t="shared" si="72"/>
        <v>0.15409466714563413</v>
      </c>
      <c r="I94">
        <f>IF(H94&gt;'Front page'!$E$21,'Front page'!$E$21,H94)+1</f>
        <v>1.1000000000000001</v>
      </c>
      <c r="J94" s="37">
        <f t="shared" si="73"/>
        <v>1.1000000000000001</v>
      </c>
      <c r="K94">
        <v>372</v>
      </c>
      <c r="L94" t="s">
        <v>104</v>
      </c>
      <c r="M94">
        <f t="shared" si="74"/>
        <v>1.1000000000000001</v>
      </c>
      <c r="O94" s="86">
        <f t="shared" ref="O94" si="103">IF(H94=1,0,IF(H94&gt;0.01,0.01,H94*-1))</f>
        <v>0.01</v>
      </c>
      <c r="P94" s="86">
        <f t="shared" si="78"/>
        <v>0.01</v>
      </c>
      <c r="R94" s="42"/>
    </row>
    <row r="95" spans="1:18">
      <c r="A95" s="105">
        <v>373</v>
      </c>
      <c r="B95" s="148">
        <f t="shared" si="71"/>
        <v>373</v>
      </c>
      <c r="C95" s="110" t="s">
        <v>529</v>
      </c>
      <c r="D95" s="107">
        <v>612605322</v>
      </c>
      <c r="E95" s="146">
        <f>'Student Enrollment Data'!CK97</f>
        <v>1694.5</v>
      </c>
      <c r="F95" s="104">
        <f t="shared" si="68"/>
        <v>361525.71377987607</v>
      </c>
      <c r="G95" s="145">
        <f t="shared" si="69"/>
        <v>0.63805141188905001</v>
      </c>
      <c r="H95">
        <f t="shared" si="72"/>
        <v>0.36194858811094999</v>
      </c>
      <c r="I95">
        <f>IF(H95&gt;'Front page'!$E$21,'Front page'!$E$21,H95)+1</f>
        <v>1.1000000000000001</v>
      </c>
      <c r="J95" s="37">
        <f t="shared" si="73"/>
        <v>1.1000000000000001</v>
      </c>
      <c r="K95">
        <v>373</v>
      </c>
      <c r="L95" t="s">
        <v>105</v>
      </c>
      <c r="M95">
        <f t="shared" si="74"/>
        <v>1.1000000000000001</v>
      </c>
      <c r="O95" s="86">
        <f t="shared" ref="O95" si="104">IF(H95=1,0,IF(H95&lt;0.1,0.1,H95*-1))</f>
        <v>-0.36194858811094999</v>
      </c>
      <c r="P95" s="86">
        <f t="shared" si="78"/>
        <v>-0.36194858811094999</v>
      </c>
      <c r="R95" s="42"/>
    </row>
    <row r="96" spans="1:18">
      <c r="A96" s="105">
        <v>381</v>
      </c>
      <c r="B96" s="148">
        <f t="shared" si="71"/>
        <v>381</v>
      </c>
      <c r="C96" s="109" t="s">
        <v>530</v>
      </c>
      <c r="D96" s="107">
        <v>939344460</v>
      </c>
      <c r="E96" s="146">
        <f>'Student Enrollment Data'!CK98</f>
        <v>1404</v>
      </c>
      <c r="F96" s="104">
        <f t="shared" si="68"/>
        <v>669048.76068376063</v>
      </c>
      <c r="G96" s="145">
        <f t="shared" si="69"/>
        <v>1.1807943117341126</v>
      </c>
      <c r="H96">
        <f t="shared" si="72"/>
        <v>0</v>
      </c>
      <c r="I96">
        <f>IF(H96&gt;'Front page'!$E$21,'Front page'!$E$21,H96)+1</f>
        <v>1</v>
      </c>
      <c r="J96" s="37">
        <f t="shared" si="73"/>
        <v>1</v>
      </c>
      <c r="K96">
        <v>381</v>
      </c>
      <c r="L96" t="s">
        <v>106</v>
      </c>
      <c r="M96">
        <f t="shared" si="74"/>
        <v>1</v>
      </c>
      <c r="O96" s="86">
        <f t="shared" ref="O96" si="105">IF(H96=1,0,IF(H96&gt;0.01,0.1,H96*-1))</f>
        <v>0</v>
      </c>
      <c r="P96" s="86">
        <f t="shared" si="78"/>
        <v>0</v>
      </c>
      <c r="R96" s="42"/>
    </row>
    <row r="97" spans="1:18">
      <c r="A97" s="105">
        <v>382</v>
      </c>
      <c r="B97" s="148">
        <f t="shared" si="71"/>
        <v>382</v>
      </c>
      <c r="C97" s="109" t="s">
        <v>531</v>
      </c>
      <c r="D97" s="107">
        <v>48885646</v>
      </c>
      <c r="E97" s="146">
        <f>'Student Enrollment Data'!CK99</f>
        <v>175</v>
      </c>
      <c r="F97" s="104">
        <f t="shared" si="68"/>
        <v>279346.54857142858</v>
      </c>
      <c r="G97" s="145">
        <f t="shared" si="69"/>
        <v>0.49301461259504598</v>
      </c>
      <c r="H97">
        <f t="shared" si="72"/>
        <v>0.50698538740495402</v>
      </c>
      <c r="I97">
        <f>IF(H97&gt;'Front page'!$E$21,'Front page'!$E$21,H97)+1</f>
        <v>1.1000000000000001</v>
      </c>
      <c r="J97" s="37">
        <f t="shared" si="73"/>
        <v>1.1000000000000001</v>
      </c>
      <c r="K97">
        <v>382</v>
      </c>
      <c r="L97" t="s">
        <v>107</v>
      </c>
      <c r="M97">
        <f t="shared" si="74"/>
        <v>1.1000000000000001</v>
      </c>
      <c r="O97" s="86">
        <f t="shared" ref="O97" si="106">IF(H97=1,0,IF(H97&gt;0.01,0.01,H97*-1))</f>
        <v>0.01</v>
      </c>
      <c r="P97" s="86">
        <f t="shared" si="78"/>
        <v>0.01</v>
      </c>
      <c r="R97" s="42"/>
    </row>
    <row r="98" spans="1:18">
      <c r="A98" s="105">
        <v>383</v>
      </c>
      <c r="B98" s="148">
        <f t="shared" si="71"/>
        <v>383</v>
      </c>
      <c r="C98" s="109" t="s">
        <v>532</v>
      </c>
      <c r="D98" s="107">
        <v>33288719</v>
      </c>
      <c r="E98" s="146">
        <f>'Student Enrollment Data'!CK100</f>
        <v>15.5</v>
      </c>
      <c r="F98" s="104">
        <f t="shared" si="68"/>
        <v>2147659.2903225808</v>
      </c>
      <c r="G98" s="145">
        <f t="shared" si="69"/>
        <v>3.7903722756531488</v>
      </c>
      <c r="H98">
        <f t="shared" si="72"/>
        <v>0</v>
      </c>
      <c r="I98">
        <f>IF(H98&gt;'Front page'!$E$21,'Front page'!$E$21,H98)+1</f>
        <v>1</v>
      </c>
      <c r="J98" s="37">
        <f t="shared" si="73"/>
        <v>1</v>
      </c>
      <c r="K98">
        <v>383</v>
      </c>
      <c r="L98" t="s">
        <v>108</v>
      </c>
      <c r="M98">
        <f t="shared" si="74"/>
        <v>1</v>
      </c>
      <c r="O98" s="86">
        <f t="shared" ref="O98" si="107">IF(H98=1,0,IF(H98&lt;0.1,0.1,H98*-1))</f>
        <v>0.1</v>
      </c>
      <c r="P98" s="86">
        <f t="shared" si="78"/>
        <v>0.1</v>
      </c>
      <c r="R98" s="42"/>
    </row>
    <row r="99" spans="1:18">
      <c r="A99" s="105">
        <v>391</v>
      </c>
      <c r="B99" s="148">
        <f t="shared" si="71"/>
        <v>391</v>
      </c>
      <c r="C99" s="109" t="s">
        <v>430</v>
      </c>
      <c r="D99" s="107">
        <v>568567933</v>
      </c>
      <c r="E99" s="146">
        <f>'Student Enrollment Data'!CK101</f>
        <v>1048</v>
      </c>
      <c r="F99" s="104">
        <f t="shared" si="68"/>
        <v>542526.65362595418</v>
      </c>
      <c r="G99" s="145">
        <f t="shared" si="69"/>
        <v>0.95749730693913992</v>
      </c>
      <c r="H99">
        <f t="shared" si="72"/>
        <v>4.2502693060860075E-2</v>
      </c>
      <c r="I99">
        <f>IF(H99&gt;'Front page'!$E$21,'Front page'!$E$21,H99)+1</f>
        <v>1.0425026930608601</v>
      </c>
      <c r="J99" s="37">
        <f t="shared" si="73"/>
        <v>1.0425026930608601</v>
      </c>
      <c r="K99">
        <v>391</v>
      </c>
      <c r="L99" t="s">
        <v>109</v>
      </c>
      <c r="M99">
        <f t="shared" si="74"/>
        <v>1.0425026930608601</v>
      </c>
      <c r="O99" s="86">
        <f t="shared" ref="O99" si="108">IF(H99=1,0,IF(H99&gt;0.01,0.1,H99*-1))</f>
        <v>0.1</v>
      </c>
      <c r="P99" s="86">
        <f t="shared" si="78"/>
        <v>0.1</v>
      </c>
      <c r="R99" s="42"/>
    </row>
    <row r="100" spans="1:18">
      <c r="A100" s="105">
        <v>392</v>
      </c>
      <c r="B100" s="148">
        <f t="shared" si="71"/>
        <v>392</v>
      </c>
      <c r="C100" s="109" t="s">
        <v>533</v>
      </c>
      <c r="D100" s="107">
        <v>88432324</v>
      </c>
      <c r="E100" s="146">
        <f>'Student Enrollment Data'!CK102</f>
        <v>93</v>
      </c>
      <c r="F100" s="104">
        <f t="shared" si="68"/>
        <v>950885.20430107531</v>
      </c>
      <c r="G100" s="145">
        <f t="shared" si="69"/>
        <v>1.6782033034533239</v>
      </c>
      <c r="H100">
        <f t="shared" si="72"/>
        <v>0</v>
      </c>
      <c r="I100">
        <f>IF(H100&gt;'Front page'!$E$21,'Front page'!$E$21,H100)+1</f>
        <v>1</v>
      </c>
      <c r="J100" s="37">
        <f t="shared" si="73"/>
        <v>1</v>
      </c>
      <c r="K100">
        <v>392</v>
      </c>
      <c r="L100" t="s">
        <v>110</v>
      </c>
      <c r="M100">
        <f t="shared" si="74"/>
        <v>1</v>
      </c>
      <c r="O100" s="86">
        <f t="shared" ref="O100" si="109">IF(H100=1,0,IF(H100&gt;0.01,0.01,H100*-1))</f>
        <v>0</v>
      </c>
      <c r="P100" s="86">
        <f t="shared" si="78"/>
        <v>0</v>
      </c>
      <c r="R100" s="42"/>
    </row>
    <row r="101" spans="1:18">
      <c r="A101" s="105">
        <v>393</v>
      </c>
      <c r="B101" s="148">
        <f t="shared" si="71"/>
        <v>393</v>
      </c>
      <c r="C101" s="109" t="s">
        <v>534</v>
      </c>
      <c r="D101" s="107">
        <v>260095632</v>
      </c>
      <c r="E101" s="146">
        <f>'Student Enrollment Data'!CK103</f>
        <v>459.5</v>
      </c>
      <c r="F101" s="104">
        <f t="shared" si="68"/>
        <v>566040.54842219804</v>
      </c>
      <c r="G101" s="145">
        <f t="shared" si="69"/>
        <v>0.99899663382488668</v>
      </c>
      <c r="H101">
        <f t="shared" si="72"/>
        <v>1.0033661751133183E-3</v>
      </c>
      <c r="I101">
        <f>IF(H101&gt;'Front page'!$E$21,'Front page'!$E$21,H101)+1</f>
        <v>1.0010033661751132</v>
      </c>
      <c r="J101" s="37">
        <f t="shared" si="73"/>
        <v>1.0010033661751132</v>
      </c>
      <c r="K101">
        <v>393</v>
      </c>
      <c r="L101" t="s">
        <v>111</v>
      </c>
      <c r="M101">
        <f t="shared" si="74"/>
        <v>1.0010033661751132</v>
      </c>
      <c r="O101" s="86">
        <f t="shared" ref="O101" si="110">IF(H101=1,0,IF(H101&lt;0.1,0.1,H101*-1))</f>
        <v>0.1</v>
      </c>
      <c r="P101" s="86">
        <f t="shared" si="78"/>
        <v>0.1</v>
      </c>
      <c r="R101" s="42"/>
    </row>
    <row r="102" spans="1:18">
      <c r="A102" s="105">
        <v>394</v>
      </c>
      <c r="B102" s="148">
        <f t="shared" si="71"/>
        <v>394</v>
      </c>
      <c r="C102" s="109" t="s">
        <v>535</v>
      </c>
      <c r="D102" s="107">
        <v>133128637</v>
      </c>
      <c r="E102" s="146">
        <f>'Student Enrollment Data'!CK104</f>
        <v>17</v>
      </c>
      <c r="F102" s="104">
        <f t="shared" si="68"/>
        <v>7831096.2941176472</v>
      </c>
      <c r="G102" s="145">
        <f t="shared" si="69"/>
        <v>13.820986603855243</v>
      </c>
      <c r="H102">
        <f t="shared" si="72"/>
        <v>0</v>
      </c>
      <c r="I102">
        <f>IF(H102&gt;'Front page'!$E$21,'Front page'!$E$21,H102)+1</f>
        <v>1</v>
      </c>
      <c r="J102" s="37">
        <f t="shared" si="73"/>
        <v>1</v>
      </c>
      <c r="K102">
        <v>394</v>
      </c>
      <c r="L102" t="s">
        <v>112</v>
      </c>
      <c r="M102">
        <f t="shared" si="74"/>
        <v>1</v>
      </c>
      <c r="O102" s="86">
        <f t="shared" ref="O102" si="111">IF(H102=1,0,IF(H102&gt;0.01,0.1,H102*-1))</f>
        <v>0</v>
      </c>
      <c r="P102" s="86">
        <f t="shared" si="78"/>
        <v>0</v>
      </c>
      <c r="R102" s="42"/>
    </row>
    <row r="103" spans="1:18">
      <c r="A103" s="105">
        <v>401</v>
      </c>
      <c r="B103" s="148">
        <f t="shared" si="71"/>
        <v>401</v>
      </c>
      <c r="C103" s="109" t="s">
        <v>536</v>
      </c>
      <c r="D103" s="107">
        <v>1867236168</v>
      </c>
      <c r="E103" s="146">
        <f>'Student Enrollment Data'!CK105</f>
        <v>1747</v>
      </c>
      <c r="F103" s="104">
        <f t="shared" si="68"/>
        <v>1068824.366342301</v>
      </c>
      <c r="G103" s="145">
        <f t="shared" si="69"/>
        <v>1.8863523948986811</v>
      </c>
      <c r="H103">
        <f t="shared" si="72"/>
        <v>0</v>
      </c>
      <c r="I103">
        <f>IF(H103&gt;'Front page'!$E$21,'Front page'!$E$21,H103)+1</f>
        <v>1</v>
      </c>
      <c r="J103" s="37">
        <f t="shared" si="73"/>
        <v>1</v>
      </c>
      <c r="K103">
        <v>401</v>
      </c>
      <c r="L103" t="s">
        <v>113</v>
      </c>
      <c r="M103">
        <f t="shared" si="74"/>
        <v>1</v>
      </c>
      <c r="O103" s="86">
        <f t="shared" ref="O103" si="112">IF(H103=1,0,IF(H103&gt;0.01,0.01,H103*-1))</f>
        <v>0</v>
      </c>
      <c r="P103" s="86">
        <f t="shared" si="78"/>
        <v>0</v>
      </c>
      <c r="R103" s="42"/>
    </row>
    <row r="104" spans="1:18">
      <c r="A104" s="105">
        <v>411</v>
      </c>
      <c r="B104" s="148">
        <f t="shared" si="71"/>
        <v>411</v>
      </c>
      <c r="C104" s="109" t="s">
        <v>537</v>
      </c>
      <c r="D104" s="107">
        <v>3576922996</v>
      </c>
      <c r="E104" s="146">
        <f>'Student Enrollment Data'!CK106</f>
        <v>9023</v>
      </c>
      <c r="F104" s="104">
        <f t="shared" si="68"/>
        <v>396422.80793527653</v>
      </c>
      <c r="G104" s="145">
        <f t="shared" si="69"/>
        <v>0.69964077980392991</v>
      </c>
      <c r="H104">
        <f t="shared" si="72"/>
        <v>0.30035922019607009</v>
      </c>
      <c r="I104">
        <f>IF(H104&gt;'Front page'!$E$21,'Front page'!$E$21,H104)+1</f>
        <v>1.1000000000000001</v>
      </c>
      <c r="J104" s="37">
        <f t="shared" si="73"/>
        <v>1.1000000000000001</v>
      </c>
      <c r="K104">
        <v>411</v>
      </c>
      <c r="L104" t="s">
        <v>114</v>
      </c>
      <c r="M104">
        <f t="shared" si="74"/>
        <v>1.1000000000000001</v>
      </c>
      <c r="O104" s="86">
        <f t="shared" ref="O104" si="113">IF(H104=1,0,IF(H104&lt;0.1,0.1,H104*-1))</f>
        <v>-0.30035922019607009</v>
      </c>
      <c r="P104" s="86">
        <f t="shared" si="78"/>
        <v>-0.30035922019607009</v>
      </c>
      <c r="R104" s="42"/>
    </row>
    <row r="105" spans="1:18">
      <c r="A105" s="105">
        <v>412</v>
      </c>
      <c r="B105" s="148">
        <f t="shared" si="71"/>
        <v>412</v>
      </c>
      <c r="C105" s="106" t="s">
        <v>538</v>
      </c>
      <c r="D105" s="107">
        <v>640294099</v>
      </c>
      <c r="E105" s="146">
        <f>'Student Enrollment Data'!CK107</f>
        <v>1207.5</v>
      </c>
      <c r="F105" s="104">
        <f t="shared" si="68"/>
        <v>530264.2641821946</v>
      </c>
      <c r="G105" s="145">
        <f t="shared" si="69"/>
        <v>0.93585559626821369</v>
      </c>
      <c r="H105">
        <f t="shared" si="72"/>
        <v>6.4144403731786315E-2</v>
      </c>
      <c r="I105">
        <f>IF(H105&gt;'Front page'!$E$21,'Front page'!$E$21,H105)+1</f>
        <v>1.0641444037317864</v>
      </c>
      <c r="J105" s="37">
        <f t="shared" si="73"/>
        <v>1.0641444037317864</v>
      </c>
      <c r="K105">
        <v>412</v>
      </c>
      <c r="L105" t="s">
        <v>115</v>
      </c>
      <c r="M105">
        <f t="shared" si="74"/>
        <v>1.0641444037317864</v>
      </c>
      <c r="O105" s="86">
        <f t="shared" ref="O105" si="114">IF(H105=1,0,IF(H105&gt;0.01,0.1,H105*-1))</f>
        <v>0.1</v>
      </c>
      <c r="P105" s="86">
        <f t="shared" si="78"/>
        <v>0.1</v>
      </c>
      <c r="R105" s="42"/>
    </row>
    <row r="106" spans="1:18">
      <c r="A106" s="105">
        <v>413</v>
      </c>
      <c r="B106" s="148">
        <f t="shared" si="71"/>
        <v>413</v>
      </c>
      <c r="C106" s="109" t="s">
        <v>539</v>
      </c>
      <c r="D106" s="107">
        <v>554391597</v>
      </c>
      <c r="E106" s="146">
        <f>'Student Enrollment Data'!CK108</f>
        <v>1595.5</v>
      </c>
      <c r="F106" s="104">
        <f t="shared" si="68"/>
        <v>347472.01316201815</v>
      </c>
      <c r="G106" s="145">
        <f t="shared" si="69"/>
        <v>0.6132482424886293</v>
      </c>
      <c r="H106">
        <f t="shared" si="72"/>
        <v>0.3867517575113707</v>
      </c>
      <c r="I106">
        <f>IF(H106&gt;'Front page'!$E$21,'Front page'!$E$21,H106)+1</f>
        <v>1.1000000000000001</v>
      </c>
      <c r="J106" s="37">
        <f t="shared" si="73"/>
        <v>1.1000000000000001</v>
      </c>
      <c r="K106">
        <v>413</v>
      </c>
      <c r="L106" t="s">
        <v>116</v>
      </c>
      <c r="M106">
        <f t="shared" si="74"/>
        <v>1.1000000000000001</v>
      </c>
      <c r="O106" s="86">
        <f t="shared" ref="O106" si="115">IF(H106=1,0,IF(H106&gt;0.01,0.01,H106*-1))</f>
        <v>0.01</v>
      </c>
      <c r="P106" s="86">
        <f t="shared" si="78"/>
        <v>0.01</v>
      </c>
      <c r="R106" s="42"/>
    </row>
    <row r="107" spans="1:18">
      <c r="A107" s="105">
        <v>414</v>
      </c>
      <c r="B107" s="148">
        <f t="shared" si="71"/>
        <v>414</v>
      </c>
      <c r="C107" s="109" t="s">
        <v>540</v>
      </c>
      <c r="D107" s="107">
        <v>504591061</v>
      </c>
      <c r="E107" s="146">
        <f>'Student Enrollment Data'!CK109</f>
        <v>1896</v>
      </c>
      <c r="F107" s="104">
        <f t="shared" si="68"/>
        <v>266134.52584388189</v>
      </c>
      <c r="G107" s="145">
        <f t="shared" si="69"/>
        <v>0.46969690811675774</v>
      </c>
      <c r="H107">
        <f t="shared" si="72"/>
        <v>0.53030309188324232</v>
      </c>
      <c r="I107">
        <f>IF(H107&gt;'Front page'!$E$21,'Front page'!$E$21,H107)+1</f>
        <v>1.1000000000000001</v>
      </c>
      <c r="J107" s="37">
        <f t="shared" si="73"/>
        <v>1.1000000000000001</v>
      </c>
      <c r="K107">
        <v>414</v>
      </c>
      <c r="L107" t="s">
        <v>117</v>
      </c>
      <c r="M107">
        <f t="shared" si="74"/>
        <v>1.1000000000000001</v>
      </c>
      <c r="O107" s="86">
        <f t="shared" ref="O107" si="116">IF(H107=1,0,IF(H107&lt;0.1,0.1,H107*-1))</f>
        <v>-0.53030309188324232</v>
      </c>
      <c r="P107" s="86">
        <f t="shared" si="78"/>
        <v>-0.53030309188324232</v>
      </c>
      <c r="R107" s="42"/>
    </row>
    <row r="108" spans="1:18">
      <c r="A108" s="105">
        <v>415</v>
      </c>
      <c r="B108" s="148">
        <f t="shared" si="71"/>
        <v>415</v>
      </c>
      <c r="C108" s="109" t="s">
        <v>541</v>
      </c>
      <c r="D108" s="107">
        <v>156154607</v>
      </c>
      <c r="E108" s="146">
        <f>'Student Enrollment Data'!CK110</f>
        <v>286.5</v>
      </c>
      <c r="F108" s="104">
        <f t="shared" si="68"/>
        <v>545042.25828970328</v>
      </c>
      <c r="G108" s="145">
        <f t="shared" si="69"/>
        <v>0.96193706058951811</v>
      </c>
      <c r="H108">
        <f t="shared" si="72"/>
        <v>3.8062939410481889E-2</v>
      </c>
      <c r="I108">
        <f>IF(H108&gt;'Front page'!$E$21,'Front page'!$E$21,H108)+1</f>
        <v>1.0380629394104819</v>
      </c>
      <c r="J108" s="37">
        <f t="shared" si="73"/>
        <v>1.0380629394104819</v>
      </c>
      <c r="K108">
        <v>415</v>
      </c>
      <c r="L108" t="s">
        <v>118</v>
      </c>
      <c r="M108">
        <f t="shared" si="74"/>
        <v>1.0380629394104819</v>
      </c>
      <c r="O108" s="86">
        <f t="shared" ref="O108" si="117">IF(H108=1,0,IF(H108&gt;0.01,0.1,H108*-1))</f>
        <v>0.1</v>
      </c>
      <c r="P108" s="86">
        <f t="shared" si="78"/>
        <v>0.1</v>
      </c>
      <c r="R108" s="42"/>
    </row>
    <row r="109" spans="1:18">
      <c r="A109" s="105">
        <v>416</v>
      </c>
      <c r="B109" s="148">
        <f t="shared" si="71"/>
        <v>416</v>
      </c>
      <c r="C109" s="109" t="s">
        <v>542</v>
      </c>
      <c r="D109" s="107">
        <v>22624479</v>
      </c>
      <c r="E109" s="146">
        <f>'Student Enrollment Data'!CK111</f>
        <v>5.5</v>
      </c>
      <c r="F109" s="104">
        <f t="shared" si="68"/>
        <v>4113541.6363636362</v>
      </c>
      <c r="G109" s="145">
        <f t="shared" si="69"/>
        <v>7.2599290974480875</v>
      </c>
      <c r="H109">
        <f t="shared" si="72"/>
        <v>0</v>
      </c>
      <c r="I109">
        <f>IF(H109&gt;'Front page'!$E$21,'Front page'!$E$21,H109)+1</f>
        <v>1</v>
      </c>
      <c r="J109" s="37">
        <f t="shared" si="73"/>
        <v>1</v>
      </c>
      <c r="K109">
        <v>416</v>
      </c>
      <c r="L109" t="s">
        <v>119</v>
      </c>
      <c r="M109">
        <f t="shared" si="74"/>
        <v>1</v>
      </c>
      <c r="O109" s="86">
        <f t="shared" ref="O109" si="118">IF(H109=1,0,IF(H109&gt;0.01,0.01,H109*-1))</f>
        <v>0</v>
      </c>
      <c r="P109" s="86">
        <f t="shared" si="78"/>
        <v>0</v>
      </c>
      <c r="R109" s="42"/>
    </row>
    <row r="110" spans="1:18">
      <c r="A110" s="105">
        <v>417</v>
      </c>
      <c r="B110" s="148">
        <f t="shared" si="71"/>
        <v>417</v>
      </c>
      <c r="C110" s="106" t="s">
        <v>543</v>
      </c>
      <c r="D110" s="107">
        <v>168128285</v>
      </c>
      <c r="E110" s="146">
        <f>'Student Enrollment Data'!CK112</f>
        <v>338</v>
      </c>
      <c r="F110" s="104">
        <f t="shared" si="68"/>
        <v>497420.96153846156</v>
      </c>
      <c r="G110" s="145">
        <f t="shared" si="69"/>
        <v>0.8778909347678352</v>
      </c>
      <c r="H110">
        <f t="shared" si="72"/>
        <v>0.1221090652321648</v>
      </c>
      <c r="I110">
        <f>IF(H110&gt;'Front page'!$E$21,'Front page'!$E$21,H110)+1</f>
        <v>1.1000000000000001</v>
      </c>
      <c r="J110" s="37">
        <f t="shared" si="73"/>
        <v>1.1000000000000001</v>
      </c>
      <c r="K110">
        <v>417</v>
      </c>
      <c r="L110" t="s">
        <v>120</v>
      </c>
      <c r="M110">
        <f t="shared" si="74"/>
        <v>1.1000000000000001</v>
      </c>
      <c r="O110" s="86">
        <f t="shared" ref="O110" si="119">IF(H110=1,0,IF(H110&lt;0.1,0.1,H110*-1))</f>
        <v>-0.1221090652321648</v>
      </c>
      <c r="P110" s="86">
        <f t="shared" si="78"/>
        <v>-0.1221090652321648</v>
      </c>
      <c r="R110" s="42"/>
    </row>
    <row r="111" spans="1:18">
      <c r="A111" s="105">
        <v>418</v>
      </c>
      <c r="B111" s="148">
        <f t="shared" si="71"/>
        <v>418</v>
      </c>
      <c r="C111" s="109" t="s">
        <v>544</v>
      </c>
      <c r="D111" s="107">
        <v>166741043</v>
      </c>
      <c r="E111" s="146">
        <f>'Student Enrollment Data'!CK113</f>
        <v>343</v>
      </c>
      <c r="F111" s="104">
        <f t="shared" si="68"/>
        <v>486125.48979591834</v>
      </c>
      <c r="G111" s="145">
        <f t="shared" si="69"/>
        <v>0.85795572291822719</v>
      </c>
      <c r="H111">
        <f t="shared" si="72"/>
        <v>0.14204427708177281</v>
      </c>
      <c r="I111">
        <f>IF(H111&gt;'Front page'!$E$21,'Front page'!$E$21,H111)+1</f>
        <v>1.1000000000000001</v>
      </c>
      <c r="J111" s="37">
        <f t="shared" si="73"/>
        <v>1.1000000000000001</v>
      </c>
      <c r="K111">
        <v>418</v>
      </c>
      <c r="L111" t="s">
        <v>121</v>
      </c>
      <c r="M111">
        <f t="shared" si="74"/>
        <v>1.1000000000000001</v>
      </c>
      <c r="O111" s="86">
        <f t="shared" ref="O111" si="120">IF(H111=1,0,IF(H111&gt;0.01,0.1,H111*-1))</f>
        <v>0.1</v>
      </c>
      <c r="P111" s="86">
        <f t="shared" si="78"/>
        <v>0.1</v>
      </c>
      <c r="R111" s="42"/>
    </row>
    <row r="112" spans="1:18">
      <c r="A112" s="105">
        <v>421</v>
      </c>
      <c r="B112" s="148">
        <f t="shared" si="71"/>
        <v>421</v>
      </c>
      <c r="C112" s="109" t="s">
        <v>545</v>
      </c>
      <c r="D112" s="107">
        <v>3568952798</v>
      </c>
      <c r="E112" s="146">
        <f>'Student Enrollment Data'!CK114</f>
        <v>1229</v>
      </c>
      <c r="F112" s="104">
        <f t="shared" si="68"/>
        <v>2903948.5744507732</v>
      </c>
      <c r="G112" s="145">
        <f t="shared" si="69"/>
        <v>5.1251361033469252</v>
      </c>
      <c r="H112">
        <f t="shared" si="72"/>
        <v>0</v>
      </c>
      <c r="I112">
        <f>IF(H112&gt;'Front page'!$E$21,'Front page'!$E$21,H112)+1</f>
        <v>1</v>
      </c>
      <c r="J112" s="37">
        <f t="shared" si="73"/>
        <v>1</v>
      </c>
      <c r="K112">
        <v>421</v>
      </c>
      <c r="L112" t="s">
        <v>122</v>
      </c>
      <c r="M112">
        <f t="shared" si="74"/>
        <v>1</v>
      </c>
      <c r="O112" s="86">
        <f t="shared" ref="O112" si="121">IF(H112=1,0,IF(H112&gt;0.01,0.01,H112*-1))</f>
        <v>0</v>
      </c>
      <c r="P112" s="86">
        <f t="shared" si="78"/>
        <v>0</v>
      </c>
      <c r="R112" s="42"/>
    </row>
    <row r="113" spans="1:18">
      <c r="A113" s="105">
        <v>422</v>
      </c>
      <c r="B113" s="148">
        <f t="shared" si="71"/>
        <v>422</v>
      </c>
      <c r="C113" s="109" t="s">
        <v>546</v>
      </c>
      <c r="D113" s="107">
        <v>556287331</v>
      </c>
      <c r="E113" s="146">
        <f>'Student Enrollment Data'!CK115</f>
        <v>209</v>
      </c>
      <c r="F113" s="104">
        <f t="shared" si="68"/>
        <v>2661661.8708133972</v>
      </c>
      <c r="G113" s="145">
        <f t="shared" si="69"/>
        <v>4.6975278656880723</v>
      </c>
      <c r="H113">
        <f t="shared" si="72"/>
        <v>0</v>
      </c>
      <c r="I113">
        <f>IF(H113&gt;'Front page'!$E$21,'Front page'!$E$21,H113)+1</f>
        <v>1</v>
      </c>
      <c r="J113" s="37">
        <f t="shared" si="73"/>
        <v>1</v>
      </c>
      <c r="K113">
        <v>422</v>
      </c>
      <c r="L113" t="s">
        <v>123</v>
      </c>
      <c r="M113">
        <f t="shared" si="74"/>
        <v>1</v>
      </c>
      <c r="O113" s="86">
        <f t="shared" ref="O113" si="122">IF(H113=1,0,IF(H113&lt;0.1,0.1,H113*-1))</f>
        <v>0.1</v>
      </c>
      <c r="P113" s="86">
        <f t="shared" si="78"/>
        <v>0.1</v>
      </c>
      <c r="R113" s="42"/>
    </row>
    <row r="114" spans="1:18">
      <c r="A114" s="105">
        <v>431</v>
      </c>
      <c r="B114" s="148">
        <f t="shared" si="71"/>
        <v>431</v>
      </c>
      <c r="C114" s="109" t="s">
        <v>547</v>
      </c>
      <c r="D114" s="107">
        <v>512512667</v>
      </c>
      <c r="E114" s="146">
        <f>'Student Enrollment Data'!CK116</f>
        <v>1511</v>
      </c>
      <c r="F114" s="104">
        <f t="shared" si="68"/>
        <v>339187.73461283918</v>
      </c>
      <c r="G114" s="145">
        <f t="shared" si="69"/>
        <v>0.59862744119203271</v>
      </c>
      <c r="H114">
        <f t="shared" si="72"/>
        <v>0.40137255880796729</v>
      </c>
      <c r="I114">
        <f>IF(H114&gt;'Front page'!$E$21,'Front page'!$E$21,H114)+1</f>
        <v>1.1000000000000001</v>
      </c>
      <c r="J114" s="37">
        <f t="shared" si="73"/>
        <v>1.1000000000000001</v>
      </c>
      <c r="K114">
        <v>431</v>
      </c>
      <c r="L114" t="s">
        <v>124</v>
      </c>
      <c r="M114">
        <f t="shared" si="74"/>
        <v>1.1000000000000001</v>
      </c>
      <c r="O114" s="86">
        <f t="shared" ref="O114" si="123">IF(H114=1,0,IF(H114&gt;0.01,0.1,H114*-1))</f>
        <v>0.1</v>
      </c>
      <c r="P114" s="86">
        <f t="shared" si="78"/>
        <v>0.1</v>
      </c>
      <c r="R114" s="42"/>
    </row>
    <row r="115" spans="1:18">
      <c r="A115" s="105">
        <v>432</v>
      </c>
      <c r="B115" s="148">
        <f t="shared" si="71"/>
        <v>432</v>
      </c>
      <c r="C115" s="106" t="s">
        <v>548</v>
      </c>
      <c r="D115" s="107">
        <v>200848846</v>
      </c>
      <c r="E115" s="146">
        <f>'Student Enrollment Data'!CK117</f>
        <v>114</v>
      </c>
      <c r="F115" s="104">
        <f t="shared" si="68"/>
        <v>1761831.9824561405</v>
      </c>
      <c r="G115" s="145">
        <f t="shared" si="69"/>
        <v>3.1094313379929721</v>
      </c>
      <c r="H115">
        <f t="shared" si="72"/>
        <v>0</v>
      </c>
      <c r="I115">
        <f>IF(H115&gt;'Front page'!$E$21,'Front page'!$E$21,H115)+1</f>
        <v>1</v>
      </c>
      <c r="J115" s="37">
        <f t="shared" si="73"/>
        <v>1</v>
      </c>
      <c r="K115">
        <v>432</v>
      </c>
      <c r="L115" t="s">
        <v>125</v>
      </c>
      <c r="M115">
        <f t="shared" si="74"/>
        <v>1</v>
      </c>
      <c r="O115" s="86">
        <f t="shared" ref="O115" si="124">IF(H115=1,0,IF(H115&gt;0.01,0.01,H115*-1))</f>
        <v>0</v>
      </c>
      <c r="P115" s="86">
        <f t="shared" si="78"/>
        <v>0</v>
      </c>
      <c r="R115" s="42"/>
    </row>
    <row r="116" spans="1:18">
      <c r="A116" s="105">
        <v>433</v>
      </c>
      <c r="B116" s="148">
        <f t="shared" si="71"/>
        <v>433</v>
      </c>
      <c r="C116" s="109" t="s">
        <v>549</v>
      </c>
      <c r="D116" s="107">
        <v>158665191</v>
      </c>
      <c r="E116" s="146">
        <f>'Student Enrollment Data'!CK118</f>
        <v>111</v>
      </c>
      <c r="F116" s="104">
        <f t="shared" si="68"/>
        <v>1429416.1351351351</v>
      </c>
      <c r="G116" s="145">
        <f>SUM(F116/$F$118)</f>
        <v>2.5227555010244194</v>
      </c>
      <c r="H116">
        <f t="shared" si="72"/>
        <v>0</v>
      </c>
      <c r="I116">
        <f>IF(H116&gt;'Front page'!$E$21,'Front page'!$E$21,H116)+1</f>
        <v>1</v>
      </c>
      <c r="J116" s="37">
        <f t="shared" si="73"/>
        <v>1</v>
      </c>
      <c r="K116">
        <v>433</v>
      </c>
      <c r="L116" t="s">
        <v>126</v>
      </c>
      <c r="M116">
        <f t="shared" si="74"/>
        <v>1</v>
      </c>
      <c r="O116" s="86">
        <f t="shared" ref="O116" si="125">IF(H116=1,0,IF(H116&lt;0.1,0.1,H116*-1))</f>
        <v>0.1</v>
      </c>
      <c r="P116" s="86">
        <f t="shared" si="78"/>
        <v>0.1</v>
      </c>
      <c r="R116" s="42"/>
    </row>
    <row r="117" spans="1:18">
      <c r="A117" s="111"/>
      <c r="B117" s="111"/>
      <c r="C117" s="106"/>
      <c r="E117" s="147"/>
      <c r="G117" s="145"/>
      <c r="J117" s="37"/>
      <c r="K117">
        <v>451</v>
      </c>
      <c r="L117" t="s">
        <v>127</v>
      </c>
      <c r="M117">
        <f t="shared" si="74"/>
        <v>1</v>
      </c>
      <c r="O117" s="86"/>
      <c r="P117" s="186">
        <f>COUNTIF(P2:P116,10%)</f>
        <v>37</v>
      </c>
      <c r="R117" s="42"/>
    </row>
    <row r="118" spans="1:18">
      <c r="A118" s="111"/>
      <c r="B118" s="111"/>
      <c r="C118" s="112" t="s">
        <v>550</v>
      </c>
      <c r="D118" s="108">
        <f>SUM(D2:D116)</f>
        <v>152902005875</v>
      </c>
      <c r="E118" s="147">
        <f>SUM(E2:E116)</f>
        <v>269854.5</v>
      </c>
      <c r="F118" s="104">
        <f>SUM(D118/E118)</f>
        <v>566609.06479232328</v>
      </c>
      <c r="G118" s="145"/>
      <c r="J118" s="37"/>
      <c r="K118">
        <v>452</v>
      </c>
      <c r="L118" t="s">
        <v>128</v>
      </c>
      <c r="M118">
        <f t="shared" si="74"/>
        <v>1</v>
      </c>
      <c r="O118" s="86"/>
      <c r="P118" s="187"/>
      <c r="R118" s="42"/>
    </row>
    <row r="119" spans="1:18">
      <c r="A119" s="113"/>
      <c r="B119" s="113"/>
      <c r="C119" s="106"/>
      <c r="E119" s="147"/>
      <c r="G119" s="145"/>
      <c r="J119" s="37"/>
      <c r="K119">
        <v>453</v>
      </c>
      <c r="L119" t="s">
        <v>129</v>
      </c>
      <c r="M119">
        <f t="shared" si="74"/>
        <v>1</v>
      </c>
      <c r="R119" s="42"/>
    </row>
    <row r="120" spans="1:18">
      <c r="E120" s="147"/>
      <c r="F120" t="s">
        <v>565</v>
      </c>
      <c r="G120" s="145">
        <f>MIN(G2:G116)</f>
        <v>0.2693106052518025</v>
      </c>
      <c r="J120" s="37"/>
      <c r="K120">
        <v>454</v>
      </c>
      <c r="L120" t="s">
        <v>130</v>
      </c>
      <c r="M120">
        <f t="shared" si="74"/>
        <v>1</v>
      </c>
      <c r="O120" s="86"/>
      <c r="P120" s="86"/>
      <c r="R120" s="42"/>
    </row>
    <row r="121" spans="1:18">
      <c r="E121" s="147"/>
      <c r="F121" t="s">
        <v>566</v>
      </c>
      <c r="G121" s="145">
        <f>MAX(G2:G116)</f>
        <v>13.820986603855243</v>
      </c>
      <c r="J121" s="37"/>
      <c r="K121">
        <v>455</v>
      </c>
      <c r="L121" t="s">
        <v>131</v>
      </c>
      <c r="M121">
        <f t="shared" si="74"/>
        <v>1</v>
      </c>
      <c r="O121" s="86"/>
      <c r="P121" s="86"/>
      <c r="R121" s="42"/>
    </row>
    <row r="122" spans="1:18">
      <c r="E122" s="147"/>
      <c r="F122" t="s">
        <v>567</v>
      </c>
      <c r="G122" s="145">
        <f>STDEV(G2:G116)</f>
        <v>2.123555233308811</v>
      </c>
      <c r="J122" s="37"/>
      <c r="K122">
        <v>456</v>
      </c>
      <c r="L122" t="s">
        <v>132</v>
      </c>
      <c r="M122">
        <f t="shared" si="74"/>
        <v>1</v>
      </c>
      <c r="R122" s="42"/>
    </row>
    <row r="123" spans="1:18">
      <c r="J123" s="37"/>
      <c r="K123">
        <v>457</v>
      </c>
      <c r="L123" t="s">
        <v>133</v>
      </c>
      <c r="M123">
        <f t="shared" si="74"/>
        <v>1</v>
      </c>
      <c r="O123" s="86"/>
      <c r="P123" s="86"/>
      <c r="R123" s="42"/>
    </row>
    <row r="124" spans="1:18">
      <c r="J124" s="37"/>
      <c r="K124">
        <v>458</v>
      </c>
      <c r="L124" t="s">
        <v>134</v>
      </c>
      <c r="M124">
        <f t="shared" si="74"/>
        <v>1</v>
      </c>
      <c r="O124" s="86"/>
      <c r="P124" s="86"/>
      <c r="R124" s="42"/>
    </row>
    <row r="125" spans="1:18">
      <c r="J125" s="37"/>
      <c r="K125">
        <v>460</v>
      </c>
      <c r="L125" t="s">
        <v>135</v>
      </c>
      <c r="M125">
        <f t="shared" si="74"/>
        <v>1</v>
      </c>
      <c r="R125" s="42"/>
    </row>
    <row r="126" spans="1:18">
      <c r="J126" s="37"/>
      <c r="K126">
        <v>461</v>
      </c>
      <c r="L126" t="s">
        <v>136</v>
      </c>
      <c r="M126">
        <f t="shared" si="74"/>
        <v>1</v>
      </c>
      <c r="O126" s="86"/>
      <c r="P126" s="86"/>
      <c r="R126" s="42"/>
    </row>
    <row r="127" spans="1:18">
      <c r="J127" s="37"/>
      <c r="K127">
        <v>462</v>
      </c>
      <c r="L127" t="s">
        <v>137</v>
      </c>
      <c r="M127">
        <f t="shared" si="74"/>
        <v>1</v>
      </c>
      <c r="O127" s="86"/>
      <c r="P127" s="86"/>
      <c r="R127" s="42"/>
    </row>
    <row r="128" spans="1:18">
      <c r="J128" s="37"/>
      <c r="K128">
        <v>463</v>
      </c>
      <c r="L128" t="s">
        <v>138</v>
      </c>
      <c r="M128">
        <f t="shared" si="74"/>
        <v>1</v>
      </c>
      <c r="R128" s="42"/>
    </row>
    <row r="129" spans="10:18">
      <c r="J129" s="37"/>
      <c r="K129">
        <v>464</v>
      </c>
      <c r="L129" t="s">
        <v>139</v>
      </c>
      <c r="M129">
        <f t="shared" si="74"/>
        <v>1</v>
      </c>
      <c r="O129" s="86"/>
      <c r="P129" s="86"/>
      <c r="R129" s="42"/>
    </row>
    <row r="130" spans="10:18">
      <c r="J130" s="37"/>
      <c r="K130">
        <v>465</v>
      </c>
      <c r="L130" t="s">
        <v>140</v>
      </c>
      <c r="M130">
        <f t="shared" si="74"/>
        <v>1</v>
      </c>
      <c r="O130" s="86"/>
      <c r="P130" s="86"/>
      <c r="R130" s="42"/>
    </row>
    <row r="131" spans="10:18">
      <c r="J131" s="37"/>
      <c r="K131">
        <v>466</v>
      </c>
      <c r="L131" t="s">
        <v>141</v>
      </c>
      <c r="M131">
        <f t="shared" ref="M131:M169" si="126">IFERROR(VLOOKUP(K131,$B$2:$J$116,9,FALSE),1)</f>
        <v>1</v>
      </c>
      <c r="R131" s="42"/>
    </row>
    <row r="132" spans="10:18">
      <c r="J132" s="37"/>
      <c r="K132">
        <v>468</v>
      </c>
      <c r="L132" t="s">
        <v>142</v>
      </c>
      <c r="M132">
        <f t="shared" si="126"/>
        <v>1</v>
      </c>
      <c r="O132" s="86"/>
      <c r="P132" s="86"/>
      <c r="R132" s="42"/>
    </row>
    <row r="133" spans="10:18">
      <c r="J133" s="37"/>
      <c r="K133">
        <v>469</v>
      </c>
      <c r="L133" t="s">
        <v>143</v>
      </c>
      <c r="M133">
        <f t="shared" si="126"/>
        <v>1</v>
      </c>
      <c r="O133" s="86"/>
      <c r="P133" s="86"/>
      <c r="R133" s="42"/>
    </row>
    <row r="134" spans="10:18">
      <c r="J134" s="37"/>
      <c r="K134">
        <v>470</v>
      </c>
      <c r="L134" t="s">
        <v>144</v>
      </c>
      <c r="M134">
        <f t="shared" si="126"/>
        <v>1</v>
      </c>
      <c r="R134" s="42"/>
    </row>
    <row r="135" spans="10:18">
      <c r="J135" s="37"/>
      <c r="K135">
        <v>472</v>
      </c>
      <c r="L135" t="s">
        <v>145</v>
      </c>
      <c r="M135">
        <f t="shared" si="126"/>
        <v>1</v>
      </c>
      <c r="O135" s="86"/>
      <c r="P135" s="86"/>
      <c r="R135" s="42"/>
    </row>
    <row r="136" spans="10:18">
      <c r="J136" s="37"/>
      <c r="K136">
        <v>473</v>
      </c>
      <c r="L136" t="s">
        <v>146</v>
      </c>
      <c r="M136">
        <f t="shared" si="126"/>
        <v>1</v>
      </c>
      <c r="O136" s="86"/>
      <c r="P136" s="86"/>
      <c r="R136" s="42"/>
    </row>
    <row r="137" spans="10:18">
      <c r="J137" s="37"/>
      <c r="K137">
        <v>474</v>
      </c>
      <c r="L137" t="s">
        <v>147</v>
      </c>
      <c r="M137">
        <f t="shared" si="126"/>
        <v>1</v>
      </c>
      <c r="R137" s="42"/>
    </row>
    <row r="138" spans="10:18">
      <c r="J138" s="37"/>
      <c r="K138">
        <v>475</v>
      </c>
      <c r="L138" t="s">
        <v>148</v>
      </c>
      <c r="M138">
        <f t="shared" si="126"/>
        <v>1</v>
      </c>
      <c r="O138" s="86"/>
      <c r="P138" s="86"/>
      <c r="R138" s="42"/>
    </row>
    <row r="139" spans="10:18">
      <c r="J139" s="37"/>
      <c r="K139">
        <v>476</v>
      </c>
      <c r="L139" t="s">
        <v>149</v>
      </c>
      <c r="M139">
        <f t="shared" si="126"/>
        <v>1</v>
      </c>
      <c r="O139" s="86"/>
      <c r="P139" s="86"/>
      <c r="R139" s="42"/>
    </row>
    <row r="140" spans="10:18">
      <c r="J140" s="37"/>
      <c r="K140">
        <v>477</v>
      </c>
      <c r="L140" t="s">
        <v>150</v>
      </c>
      <c r="M140">
        <f t="shared" si="126"/>
        <v>1</v>
      </c>
      <c r="R140" s="42"/>
    </row>
    <row r="141" spans="10:18">
      <c r="J141" s="37"/>
      <c r="K141">
        <v>478</v>
      </c>
      <c r="L141" t="s">
        <v>151</v>
      </c>
      <c r="M141">
        <f t="shared" si="126"/>
        <v>1</v>
      </c>
      <c r="O141" s="86"/>
      <c r="P141" s="86"/>
      <c r="R141" s="42"/>
    </row>
    <row r="142" spans="10:18">
      <c r="J142" s="37"/>
      <c r="K142">
        <v>479</v>
      </c>
      <c r="L142" t="s">
        <v>152</v>
      </c>
      <c r="M142">
        <f t="shared" si="126"/>
        <v>1</v>
      </c>
      <c r="O142" s="86"/>
      <c r="P142" s="86"/>
      <c r="R142" s="42"/>
    </row>
    <row r="143" spans="10:18">
      <c r="J143" s="37"/>
      <c r="K143">
        <v>480</v>
      </c>
      <c r="L143" t="s">
        <v>153</v>
      </c>
      <c r="M143">
        <f t="shared" si="126"/>
        <v>1</v>
      </c>
      <c r="R143" s="42"/>
    </row>
    <row r="144" spans="10:18">
      <c r="J144" s="37"/>
      <c r="K144">
        <v>481</v>
      </c>
      <c r="L144" t="s">
        <v>154</v>
      </c>
      <c r="M144">
        <f t="shared" si="126"/>
        <v>1</v>
      </c>
      <c r="O144" s="86"/>
      <c r="P144" s="86"/>
      <c r="R144" s="42"/>
    </row>
    <row r="145" spans="10:18">
      <c r="J145" s="37"/>
      <c r="K145">
        <v>482</v>
      </c>
      <c r="L145" t="s">
        <v>155</v>
      </c>
      <c r="M145">
        <f t="shared" si="126"/>
        <v>1</v>
      </c>
      <c r="O145" s="86"/>
      <c r="P145" s="86"/>
      <c r="R145" s="42"/>
    </row>
    <row r="146" spans="10:18">
      <c r="J146" s="37"/>
      <c r="K146">
        <v>483</v>
      </c>
      <c r="L146" t="s">
        <v>156</v>
      </c>
      <c r="M146">
        <f t="shared" si="126"/>
        <v>1</v>
      </c>
      <c r="R146" s="42"/>
    </row>
    <row r="147" spans="10:18">
      <c r="J147" s="37"/>
      <c r="K147">
        <v>485</v>
      </c>
      <c r="L147" t="s">
        <v>157</v>
      </c>
      <c r="M147">
        <f t="shared" si="126"/>
        <v>1</v>
      </c>
      <c r="O147" s="86"/>
      <c r="P147" s="86"/>
      <c r="R147" s="42"/>
    </row>
    <row r="148" spans="10:18">
      <c r="J148" s="37"/>
      <c r="K148">
        <v>486</v>
      </c>
      <c r="L148" t="s">
        <v>158</v>
      </c>
      <c r="M148">
        <f t="shared" si="126"/>
        <v>1</v>
      </c>
      <c r="O148" s="86"/>
      <c r="P148" s="86"/>
      <c r="R148" s="42"/>
    </row>
    <row r="149" spans="10:18">
      <c r="J149" s="37"/>
      <c r="K149">
        <v>487</v>
      </c>
      <c r="L149" t="s">
        <v>159</v>
      </c>
      <c r="M149">
        <f t="shared" si="126"/>
        <v>1</v>
      </c>
      <c r="R149" s="42"/>
    </row>
    <row r="150" spans="10:18">
      <c r="J150" s="37"/>
      <c r="K150">
        <v>488</v>
      </c>
      <c r="L150" t="s">
        <v>160</v>
      </c>
      <c r="M150">
        <f t="shared" si="126"/>
        <v>1</v>
      </c>
      <c r="O150" s="86"/>
      <c r="P150" s="86"/>
      <c r="R150" s="42"/>
    </row>
    <row r="151" spans="10:18">
      <c r="J151" s="37"/>
      <c r="K151">
        <v>489</v>
      </c>
      <c r="L151" t="s">
        <v>161</v>
      </c>
      <c r="M151">
        <f t="shared" si="126"/>
        <v>1</v>
      </c>
      <c r="O151" s="86"/>
      <c r="P151" s="86"/>
      <c r="R151" s="42"/>
    </row>
    <row r="152" spans="10:18">
      <c r="J152" s="37"/>
      <c r="K152">
        <v>490</v>
      </c>
      <c r="L152" t="s">
        <v>162</v>
      </c>
      <c r="M152">
        <f t="shared" si="126"/>
        <v>1</v>
      </c>
      <c r="R152" s="42"/>
    </row>
    <row r="153" spans="10:18">
      <c r="J153" s="37"/>
      <c r="K153">
        <v>491</v>
      </c>
      <c r="L153" t="s">
        <v>163</v>
      </c>
      <c r="M153">
        <f t="shared" si="126"/>
        <v>1</v>
      </c>
      <c r="O153" s="86"/>
      <c r="P153" s="86"/>
      <c r="R153" s="42"/>
    </row>
    <row r="154" spans="10:18">
      <c r="J154" s="37"/>
      <c r="K154">
        <v>492</v>
      </c>
      <c r="L154" t="s">
        <v>164</v>
      </c>
      <c r="M154">
        <f t="shared" si="126"/>
        <v>1</v>
      </c>
      <c r="O154" s="86"/>
      <c r="P154" s="86"/>
      <c r="R154" s="42"/>
    </row>
    <row r="155" spans="10:18">
      <c r="J155" s="37"/>
      <c r="K155">
        <v>493</v>
      </c>
      <c r="L155" t="s">
        <v>165</v>
      </c>
      <c r="M155">
        <f t="shared" si="126"/>
        <v>1</v>
      </c>
      <c r="R155" s="42"/>
    </row>
    <row r="156" spans="10:18">
      <c r="J156" s="37"/>
      <c r="K156">
        <v>494</v>
      </c>
      <c r="L156" t="s">
        <v>166</v>
      </c>
      <c r="M156">
        <f t="shared" si="126"/>
        <v>1</v>
      </c>
      <c r="O156" s="86"/>
      <c r="P156" s="86"/>
      <c r="R156" s="42"/>
    </row>
    <row r="157" spans="10:18">
      <c r="J157" s="37"/>
      <c r="K157">
        <v>495</v>
      </c>
      <c r="L157" t="s">
        <v>167</v>
      </c>
      <c r="M157">
        <f t="shared" si="126"/>
        <v>1</v>
      </c>
      <c r="O157" s="86"/>
      <c r="P157" s="86"/>
      <c r="R157" s="42"/>
    </row>
    <row r="158" spans="10:18">
      <c r="J158" s="37"/>
      <c r="K158">
        <v>496</v>
      </c>
      <c r="L158" t="s">
        <v>168</v>
      </c>
      <c r="M158">
        <f t="shared" si="126"/>
        <v>1</v>
      </c>
      <c r="R158" s="42"/>
    </row>
    <row r="159" spans="10:18">
      <c r="J159" s="37"/>
      <c r="K159">
        <v>497</v>
      </c>
      <c r="L159" t="s">
        <v>169</v>
      </c>
      <c r="M159">
        <f t="shared" si="126"/>
        <v>1</v>
      </c>
      <c r="O159" s="86"/>
      <c r="P159" s="86"/>
      <c r="R159" s="42"/>
    </row>
    <row r="160" spans="10:18">
      <c r="J160" s="37"/>
      <c r="K160">
        <v>555</v>
      </c>
      <c r="L160" t="s">
        <v>170</v>
      </c>
      <c r="M160">
        <f t="shared" si="126"/>
        <v>1</v>
      </c>
      <c r="O160" s="86"/>
      <c r="P160" s="86"/>
      <c r="R160" s="42"/>
    </row>
    <row r="161" spans="10:18">
      <c r="J161" s="37"/>
      <c r="K161">
        <v>559</v>
      </c>
      <c r="L161" t="s">
        <v>171</v>
      </c>
      <c r="M161">
        <f t="shared" si="126"/>
        <v>1</v>
      </c>
      <c r="R161" s="42"/>
    </row>
    <row r="162" spans="10:18">
      <c r="J162" s="37"/>
      <c r="K162">
        <v>751</v>
      </c>
      <c r="L162" t="s">
        <v>172</v>
      </c>
      <c r="M162">
        <f t="shared" si="126"/>
        <v>1</v>
      </c>
      <c r="O162" s="86"/>
      <c r="P162" s="86"/>
      <c r="R162" s="42"/>
    </row>
    <row r="163" spans="10:18">
      <c r="J163" s="37"/>
      <c r="K163">
        <v>768</v>
      </c>
      <c r="L163" t="s">
        <v>173</v>
      </c>
      <c r="M163">
        <f t="shared" si="126"/>
        <v>1</v>
      </c>
      <c r="O163" s="86"/>
      <c r="P163" s="86"/>
      <c r="R163" s="42"/>
    </row>
    <row r="164" spans="10:18">
      <c r="J164" s="37"/>
      <c r="K164">
        <v>785</v>
      </c>
      <c r="L164" t="s">
        <v>174</v>
      </c>
      <c r="M164">
        <f t="shared" si="126"/>
        <v>1</v>
      </c>
      <c r="R164" s="42"/>
    </row>
    <row r="165" spans="10:18">
      <c r="J165" s="37"/>
      <c r="K165">
        <v>790</v>
      </c>
      <c r="L165" t="s">
        <v>175</v>
      </c>
      <c r="M165">
        <f t="shared" si="126"/>
        <v>1</v>
      </c>
      <c r="O165" s="86"/>
      <c r="P165" s="86"/>
      <c r="R165" s="42"/>
    </row>
    <row r="166" spans="10:18">
      <c r="J166" s="37"/>
      <c r="K166">
        <v>794</v>
      </c>
      <c r="L166" t="s">
        <v>176</v>
      </c>
      <c r="M166">
        <f t="shared" si="126"/>
        <v>1</v>
      </c>
      <c r="O166" s="86"/>
      <c r="P166" s="86"/>
      <c r="R166" s="42"/>
    </row>
    <row r="167" spans="10:18">
      <c r="J167" s="37"/>
      <c r="K167">
        <v>795</v>
      </c>
      <c r="L167" t="s">
        <v>177</v>
      </c>
      <c r="M167">
        <f t="shared" si="126"/>
        <v>1</v>
      </c>
      <c r="R167" s="42"/>
    </row>
    <row r="168" spans="10:18">
      <c r="J168" s="37"/>
      <c r="K168">
        <v>796</v>
      </c>
      <c r="L168" t="s">
        <v>178</v>
      </c>
      <c r="M168">
        <f t="shared" si="126"/>
        <v>1</v>
      </c>
      <c r="O168" s="86"/>
      <c r="P168" s="86"/>
      <c r="R168" s="42"/>
    </row>
    <row r="169" spans="10:18">
      <c r="J169" s="37"/>
      <c r="K169">
        <v>813</v>
      </c>
      <c r="L169" t="s">
        <v>179</v>
      </c>
      <c r="M169">
        <f t="shared" si="126"/>
        <v>1</v>
      </c>
      <c r="O169" s="86"/>
      <c r="P169" s="86"/>
      <c r="R169" s="42"/>
    </row>
  </sheetData>
  <mergeCells count="1">
    <mergeCell ref="S16:X3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184"/>
  <sheetViews>
    <sheetView topLeftCell="E1" workbookViewId="0">
      <selection activeCell="E1" sqref="E1"/>
    </sheetView>
  </sheetViews>
  <sheetFormatPr defaultColWidth="8.85546875" defaultRowHeight="15"/>
  <cols>
    <col min="1" max="1" width="8.42578125" style="244" customWidth="1"/>
    <col min="2" max="2" width="53.7109375" style="244" bestFit="1" customWidth="1"/>
    <col min="3" max="3" width="17" style="259" customWidth="1"/>
    <col min="4" max="4" width="17.85546875" style="247" customWidth="1"/>
    <col min="5" max="5" width="18.42578125" style="247" customWidth="1"/>
    <col min="6" max="6" width="6.85546875" style="244" customWidth="1"/>
    <col min="7" max="7" width="19.28515625" style="247" customWidth="1"/>
    <col min="8" max="8" width="21" style="269" customWidth="1"/>
    <col min="9" max="9" width="7.7109375" style="270" customWidth="1"/>
    <col min="10" max="11" width="21.28515625" style="262" customWidth="1"/>
  </cols>
  <sheetData>
    <row r="1" spans="1:13">
      <c r="C1" s="245"/>
      <c r="D1" s="246"/>
      <c r="F1" s="248"/>
      <c r="G1" s="337" t="s">
        <v>646</v>
      </c>
      <c r="H1" s="338"/>
      <c r="I1" s="249"/>
      <c r="J1" s="250"/>
      <c r="K1" s="250"/>
    </row>
    <row r="2" spans="1:13" ht="28.5">
      <c r="A2" s="251" t="s">
        <v>647</v>
      </c>
      <c r="B2" s="252" t="s">
        <v>648</v>
      </c>
      <c r="C2" s="252" t="s">
        <v>649</v>
      </c>
      <c r="D2" s="252" t="s">
        <v>650</v>
      </c>
      <c r="E2" s="252" t="s">
        <v>651</v>
      </c>
      <c r="F2" s="248"/>
      <c r="G2" s="252" t="s">
        <v>650</v>
      </c>
      <c r="H2" s="253" t="s">
        <v>652</v>
      </c>
      <c r="I2" s="254"/>
      <c r="J2" s="250" t="s">
        <v>653</v>
      </c>
      <c r="K2" s="250" t="s">
        <v>654</v>
      </c>
      <c r="L2" t="s">
        <v>333</v>
      </c>
    </row>
    <row r="3" spans="1:13">
      <c r="A3" s="255">
        <v>1</v>
      </c>
      <c r="B3" s="256" t="s">
        <v>655</v>
      </c>
      <c r="C3" s="257">
        <v>1505.22</v>
      </c>
      <c r="D3" s="258">
        <v>45345.66</v>
      </c>
      <c r="E3" s="259">
        <f t="shared" ref="E3:E66" si="0">ROUND(C3*D3,2)</f>
        <v>68255194.349999994</v>
      </c>
      <c r="F3" s="248"/>
      <c r="G3" s="258">
        <f t="shared" ref="G3:G66" si="1">D3-$D$178</f>
        <v>1911.1400000000067</v>
      </c>
      <c r="H3" s="260">
        <f t="shared" ref="H3:H66" si="2">MAX(G3/$D$178)</f>
        <v>4.4000486249186288E-2</v>
      </c>
      <c r="I3" s="261"/>
      <c r="J3" s="262">
        <f t="shared" ref="J3:J66" si="3">MAX(G3/$D$178,0)*0.557</f>
        <v>2.4508270840796764E-2</v>
      </c>
      <c r="K3" s="262">
        <f t="shared" ref="K3:K66" si="4">MIN(J3,$M$3)</f>
        <v>2.4508270840796764E-2</v>
      </c>
      <c r="L3">
        <f>K3*Calculations!Y3</f>
        <v>734.46383604872653</v>
      </c>
      <c r="M3" s="84">
        <f>'Front page'!E24</f>
        <v>0.05</v>
      </c>
    </row>
    <row r="4" spans="1:13">
      <c r="A4" s="255">
        <v>2</v>
      </c>
      <c r="B4" s="256" t="s">
        <v>656</v>
      </c>
      <c r="C4" s="257">
        <v>1873.91777777778</v>
      </c>
      <c r="D4" s="258">
        <v>43801.18</v>
      </c>
      <c r="E4" s="259">
        <f t="shared" si="0"/>
        <v>82079809.890000001</v>
      </c>
      <c r="F4" s="248"/>
      <c r="G4" s="258">
        <f t="shared" si="1"/>
        <v>366.66000000000349</v>
      </c>
      <c r="H4" s="260">
        <f t="shared" si="2"/>
        <v>8.4416726603633134E-3</v>
      </c>
      <c r="I4" s="261"/>
      <c r="J4" s="262">
        <f t="shared" si="3"/>
        <v>4.7020116718223658E-3</v>
      </c>
      <c r="K4" s="262">
        <f t="shared" si="4"/>
        <v>4.7020116718223658E-3</v>
      </c>
      <c r="L4">
        <f>K4*Calculations!Y4</f>
        <v>209.59442723708446</v>
      </c>
    </row>
    <row r="5" spans="1:13">
      <c r="A5" s="255">
        <v>3</v>
      </c>
      <c r="B5" s="256" t="s">
        <v>657</v>
      </c>
      <c r="C5" s="257">
        <v>268.12151999999998</v>
      </c>
      <c r="D5" s="258">
        <v>42593.61</v>
      </c>
      <c r="E5" s="259">
        <f t="shared" si="0"/>
        <v>11420263.460000001</v>
      </c>
      <c r="F5" s="248"/>
      <c r="G5" s="258">
        <f t="shared" si="1"/>
        <v>-840.90999999999622</v>
      </c>
      <c r="H5" s="260">
        <f t="shared" si="2"/>
        <v>-1.9360407344204477E-2</v>
      </c>
      <c r="I5" s="261"/>
      <c r="J5" s="262">
        <f t="shared" si="3"/>
        <v>0</v>
      </c>
      <c r="K5" s="262">
        <f t="shared" si="4"/>
        <v>0</v>
      </c>
      <c r="L5">
        <f>K5*Calculations!Y5</f>
        <v>0</v>
      </c>
    </row>
    <row r="6" spans="1:13">
      <c r="A6" s="255">
        <v>11</v>
      </c>
      <c r="B6" s="263" t="s">
        <v>658</v>
      </c>
      <c r="C6" s="257">
        <v>16.23</v>
      </c>
      <c r="D6" s="258">
        <v>42993.04</v>
      </c>
      <c r="E6" s="259">
        <f t="shared" si="0"/>
        <v>697777.04</v>
      </c>
      <c r="F6" s="248"/>
      <c r="G6" s="258">
        <f t="shared" si="1"/>
        <v>-441.47999999999593</v>
      </c>
      <c r="H6" s="260">
        <f t="shared" si="2"/>
        <v>-1.0164265657822302E-2</v>
      </c>
      <c r="I6" s="261"/>
      <c r="J6" s="262">
        <f t="shared" si="3"/>
        <v>0</v>
      </c>
      <c r="K6" s="262">
        <f t="shared" si="4"/>
        <v>0</v>
      </c>
      <c r="L6">
        <f>K6*Calculations!Y6</f>
        <v>0</v>
      </c>
    </row>
    <row r="7" spans="1:13">
      <c r="A7" s="255">
        <v>13</v>
      </c>
      <c r="B7" s="264" t="s">
        <v>659</v>
      </c>
      <c r="C7" s="257">
        <v>18.02</v>
      </c>
      <c r="D7" s="258">
        <v>44881.27</v>
      </c>
      <c r="E7" s="259">
        <f t="shared" si="0"/>
        <v>808760.49</v>
      </c>
      <c r="F7" s="248"/>
      <c r="G7" s="258">
        <f t="shared" si="1"/>
        <v>1446.75</v>
      </c>
      <c r="H7" s="260">
        <f t="shared" si="2"/>
        <v>3.3308759944854924E-2</v>
      </c>
      <c r="I7" s="261"/>
      <c r="J7" s="262">
        <f t="shared" si="3"/>
        <v>1.8552979289284195E-2</v>
      </c>
      <c r="K7" s="262">
        <f t="shared" si="4"/>
        <v>1.8552979289284195E-2</v>
      </c>
      <c r="L7">
        <f>K7*Calculations!Y7</f>
        <v>8.9027759941012796</v>
      </c>
    </row>
    <row r="8" spans="1:13">
      <c r="A8" s="255">
        <v>21</v>
      </c>
      <c r="B8" s="263" t="s">
        <v>660</v>
      </c>
      <c r="C8" s="265">
        <v>70.88</v>
      </c>
      <c r="D8" s="258">
        <v>42599.98</v>
      </c>
      <c r="E8" s="259">
        <f t="shared" si="0"/>
        <v>3019486.58</v>
      </c>
      <c r="F8" s="248"/>
      <c r="G8" s="258">
        <f t="shared" si="1"/>
        <v>-834.5399999999936</v>
      </c>
      <c r="H8" s="260">
        <f t="shared" si="2"/>
        <v>-1.92137498008495E-2</v>
      </c>
      <c r="I8" s="261"/>
      <c r="J8" s="262">
        <f t="shared" si="3"/>
        <v>0</v>
      </c>
      <c r="K8" s="262">
        <f t="shared" si="4"/>
        <v>0</v>
      </c>
      <c r="L8">
        <f>K8*Calculations!Y8</f>
        <v>0</v>
      </c>
    </row>
    <row r="9" spans="1:13">
      <c r="A9" s="255">
        <v>25</v>
      </c>
      <c r="B9" s="256" t="s">
        <v>661</v>
      </c>
      <c r="C9" s="257">
        <v>593.41200000000003</v>
      </c>
      <c r="D9" s="258">
        <v>43783.4</v>
      </c>
      <c r="E9" s="259">
        <f t="shared" si="0"/>
        <v>25981594.960000001</v>
      </c>
      <c r="F9" s="248"/>
      <c r="G9" s="258">
        <f t="shared" si="1"/>
        <v>348.88000000000466</v>
      </c>
      <c r="H9" s="260">
        <f t="shared" si="2"/>
        <v>8.0323208360540115E-3</v>
      </c>
      <c r="I9" s="261"/>
      <c r="J9" s="262">
        <f t="shared" si="3"/>
        <v>4.4740027056820852E-3</v>
      </c>
      <c r="K9" s="262">
        <f t="shared" si="4"/>
        <v>4.4740027056820852E-3</v>
      </c>
      <c r="L9">
        <f>K9*Calculations!Y9</f>
        <v>69.341373376644228</v>
      </c>
    </row>
    <row r="10" spans="1:13">
      <c r="A10" s="255">
        <v>33</v>
      </c>
      <c r="B10" s="263" t="s">
        <v>662</v>
      </c>
      <c r="C10" s="257">
        <v>64.266000000000005</v>
      </c>
      <c r="D10" s="258">
        <v>42023.99</v>
      </c>
      <c r="E10" s="259">
        <f t="shared" si="0"/>
        <v>2700713.74</v>
      </c>
      <c r="F10" s="248"/>
      <c r="G10" s="258">
        <f t="shared" si="1"/>
        <v>-1410.5299999999988</v>
      </c>
      <c r="H10" s="260">
        <f t="shared" si="2"/>
        <v>-3.2474861009169638E-2</v>
      </c>
      <c r="I10" s="261"/>
      <c r="J10" s="262">
        <f t="shared" si="3"/>
        <v>0</v>
      </c>
      <c r="K10" s="262">
        <f t="shared" si="4"/>
        <v>0</v>
      </c>
      <c r="L10">
        <f>K10*Calculations!Y10</f>
        <v>0</v>
      </c>
    </row>
    <row r="11" spans="1:13">
      <c r="A11" s="255">
        <v>41</v>
      </c>
      <c r="B11" s="256" t="s">
        <v>663</v>
      </c>
      <c r="C11" s="257">
        <v>56.22</v>
      </c>
      <c r="D11" s="258">
        <v>43230.03</v>
      </c>
      <c r="E11" s="259">
        <f t="shared" si="0"/>
        <v>2430392.29</v>
      </c>
      <c r="F11" s="248"/>
      <c r="G11" s="258">
        <f t="shared" si="1"/>
        <v>-204.48999999999796</v>
      </c>
      <c r="H11" s="260">
        <f t="shared" si="2"/>
        <v>-4.7080064428016693E-3</v>
      </c>
      <c r="I11" s="261"/>
      <c r="J11" s="262">
        <f t="shared" si="3"/>
        <v>0</v>
      </c>
      <c r="K11" s="262">
        <f t="shared" si="4"/>
        <v>0</v>
      </c>
      <c r="L11">
        <f>K11*Calculations!Y11</f>
        <v>0</v>
      </c>
    </row>
    <row r="12" spans="1:13">
      <c r="A12" s="255">
        <v>44</v>
      </c>
      <c r="B12" s="263" t="s">
        <v>664</v>
      </c>
      <c r="C12" s="257">
        <v>27.25</v>
      </c>
      <c r="D12" s="258">
        <v>42092.97</v>
      </c>
      <c r="E12" s="259">
        <f t="shared" si="0"/>
        <v>1147033.43</v>
      </c>
      <c r="F12" s="248"/>
      <c r="G12" s="258">
        <f t="shared" si="1"/>
        <v>-1341.5499999999956</v>
      </c>
      <c r="H12" s="260">
        <f t="shared" si="2"/>
        <v>-3.0886723279087595E-2</v>
      </c>
      <c r="I12" s="261"/>
      <c r="J12" s="262">
        <f t="shared" si="3"/>
        <v>0</v>
      </c>
      <c r="K12" s="262">
        <f t="shared" si="4"/>
        <v>0</v>
      </c>
      <c r="L12">
        <f>K12*Calculations!Y12</f>
        <v>0</v>
      </c>
    </row>
    <row r="13" spans="1:13">
      <c r="A13" s="255">
        <v>52</v>
      </c>
      <c r="B13" s="266" t="s">
        <v>665</v>
      </c>
      <c r="C13" s="257">
        <v>91.75</v>
      </c>
      <c r="D13" s="258">
        <v>42486.79</v>
      </c>
      <c r="E13" s="259">
        <f t="shared" si="0"/>
        <v>3898162.98</v>
      </c>
      <c r="F13" s="248"/>
      <c r="G13" s="258">
        <f t="shared" si="1"/>
        <v>-947.72999999999593</v>
      </c>
      <c r="H13" s="260">
        <f t="shared" si="2"/>
        <v>-2.1819741532771539E-2</v>
      </c>
      <c r="I13" s="261"/>
      <c r="J13" s="262">
        <f t="shared" si="3"/>
        <v>0</v>
      </c>
      <c r="K13" s="262">
        <f t="shared" si="4"/>
        <v>0</v>
      </c>
      <c r="L13">
        <f>K13*Calculations!Y13</f>
        <v>0</v>
      </c>
    </row>
    <row r="14" spans="1:13">
      <c r="A14" s="255">
        <v>55</v>
      </c>
      <c r="B14" s="256" t="s">
        <v>666</v>
      </c>
      <c r="C14" s="257">
        <v>197.05</v>
      </c>
      <c r="D14" s="258">
        <v>43563.25</v>
      </c>
      <c r="E14" s="259">
        <f t="shared" si="0"/>
        <v>8584138.4100000001</v>
      </c>
      <c r="F14" s="248"/>
      <c r="G14" s="258">
        <f t="shared" si="1"/>
        <v>128.7300000000032</v>
      </c>
      <c r="H14" s="260">
        <f t="shared" si="2"/>
        <v>2.9637716728538317E-3</v>
      </c>
      <c r="I14" s="261"/>
      <c r="J14" s="262">
        <f t="shared" si="3"/>
        <v>1.6508208217795844E-3</v>
      </c>
      <c r="K14" s="262">
        <f t="shared" si="4"/>
        <v>1.6508208217795844E-3</v>
      </c>
      <c r="L14">
        <f>K14*Calculations!Y14</f>
        <v>8.0252181393163173</v>
      </c>
    </row>
    <row r="15" spans="1:13">
      <c r="A15" s="255">
        <v>58</v>
      </c>
      <c r="B15" s="266" t="s">
        <v>667</v>
      </c>
      <c r="C15" s="257">
        <v>39.35</v>
      </c>
      <c r="D15" s="258">
        <v>43521.79</v>
      </c>
      <c r="E15" s="259">
        <f t="shared" si="0"/>
        <v>1712582.44</v>
      </c>
      <c r="F15" s="248"/>
      <c r="G15" s="258">
        <f t="shared" si="1"/>
        <v>87.270000000004075</v>
      </c>
      <c r="H15" s="260">
        <f t="shared" si="2"/>
        <v>2.0092313671246759E-3</v>
      </c>
      <c r="I15" s="261"/>
      <c r="J15" s="262">
        <f t="shared" si="3"/>
        <v>1.1191418714884445E-3</v>
      </c>
      <c r="K15" s="262">
        <f t="shared" si="4"/>
        <v>1.1191418714884445E-3</v>
      </c>
      <c r="L15">
        <f>K15*Calculations!Y15</f>
        <v>1.2293427103186887</v>
      </c>
    </row>
    <row r="16" spans="1:13">
      <c r="A16" s="255">
        <v>59</v>
      </c>
      <c r="B16" s="266" t="s">
        <v>668</v>
      </c>
      <c r="C16" s="257">
        <v>43.33</v>
      </c>
      <c r="D16" s="258">
        <v>45763.77</v>
      </c>
      <c r="E16" s="259">
        <f t="shared" si="0"/>
        <v>1982944.15</v>
      </c>
      <c r="F16" s="248"/>
      <c r="G16" s="258">
        <f t="shared" si="1"/>
        <v>2329.25</v>
      </c>
      <c r="H16" s="260">
        <f t="shared" si="2"/>
        <v>5.3626700605877542E-2</v>
      </c>
      <c r="I16" s="261"/>
      <c r="J16" s="262">
        <f t="shared" si="3"/>
        <v>2.9870072237473795E-2</v>
      </c>
      <c r="K16" s="262">
        <f t="shared" si="4"/>
        <v>2.9870072237473795E-2</v>
      </c>
      <c r="L16">
        <f>K16*Calculations!Y16</f>
        <v>34.43327991308805</v>
      </c>
    </row>
    <row r="17" spans="1:12">
      <c r="A17" s="255">
        <v>60</v>
      </c>
      <c r="B17" s="263" t="s">
        <v>669</v>
      </c>
      <c r="C17" s="257">
        <v>109.97</v>
      </c>
      <c r="D17" s="258">
        <v>41877.81</v>
      </c>
      <c r="E17" s="259">
        <f t="shared" si="0"/>
        <v>4605302.7699999996</v>
      </c>
      <c r="F17" s="248"/>
      <c r="G17" s="258">
        <f t="shared" si="1"/>
        <v>-1556.7099999999991</v>
      </c>
      <c r="H17" s="260">
        <f t="shared" si="2"/>
        <v>-3.5840386862799431E-2</v>
      </c>
      <c r="I17" s="261"/>
      <c r="J17" s="262">
        <f t="shared" si="3"/>
        <v>0</v>
      </c>
      <c r="K17" s="262">
        <f t="shared" si="4"/>
        <v>0</v>
      </c>
      <c r="L17">
        <f>K17*Calculations!Y17</f>
        <v>0</v>
      </c>
    </row>
    <row r="18" spans="1:12">
      <c r="A18" s="255">
        <v>61</v>
      </c>
      <c r="B18" s="256" t="s">
        <v>670</v>
      </c>
      <c r="C18" s="257">
        <v>256.67</v>
      </c>
      <c r="D18" s="258">
        <v>44258.97</v>
      </c>
      <c r="E18" s="259">
        <f t="shared" si="0"/>
        <v>11359949.83</v>
      </c>
      <c r="F18" s="248"/>
      <c r="G18" s="258">
        <f t="shared" si="1"/>
        <v>824.45000000000437</v>
      </c>
      <c r="H18" s="260">
        <f t="shared" si="2"/>
        <v>1.8981446094028537E-2</v>
      </c>
      <c r="I18" s="261"/>
      <c r="J18" s="262">
        <f t="shared" si="3"/>
        <v>1.0572665474373896E-2</v>
      </c>
      <c r="K18" s="262">
        <f t="shared" si="4"/>
        <v>1.0572665474373896E-2</v>
      </c>
      <c r="L18">
        <f>K18*Calculations!Y18</f>
        <v>41.53481765590729</v>
      </c>
    </row>
    <row r="19" spans="1:12">
      <c r="A19" s="255">
        <v>71</v>
      </c>
      <c r="B19" s="264" t="s">
        <v>671</v>
      </c>
      <c r="C19" s="257">
        <v>17.2</v>
      </c>
      <c r="D19" s="258">
        <v>46046.59</v>
      </c>
      <c r="E19" s="259">
        <f t="shared" si="0"/>
        <v>792001.35</v>
      </c>
      <c r="F19" s="248"/>
      <c r="G19" s="258">
        <f t="shared" si="1"/>
        <v>2612.0699999999997</v>
      </c>
      <c r="H19" s="260">
        <f t="shared" si="2"/>
        <v>6.0138111345538064E-2</v>
      </c>
      <c r="I19" s="261"/>
      <c r="J19" s="262">
        <f t="shared" si="3"/>
        <v>3.3496928019464703E-2</v>
      </c>
      <c r="K19" s="262">
        <f t="shared" si="4"/>
        <v>3.3496928019464703E-2</v>
      </c>
      <c r="L19">
        <f>K19*Calculations!Y19</f>
        <v>14.638981684442003</v>
      </c>
    </row>
    <row r="20" spans="1:12">
      <c r="A20" s="255">
        <v>72</v>
      </c>
      <c r="B20" s="264" t="s">
        <v>672</v>
      </c>
      <c r="C20" s="257">
        <v>24.73</v>
      </c>
      <c r="D20" s="258">
        <v>43432.56</v>
      </c>
      <c r="E20" s="259">
        <f t="shared" si="0"/>
        <v>1074087.21</v>
      </c>
      <c r="F20" s="248"/>
      <c r="G20" s="258">
        <f t="shared" si="1"/>
        <v>-1.9599999999991269</v>
      </c>
      <c r="H20" s="260">
        <f t="shared" si="2"/>
        <v>-4.5125397955338908E-5</v>
      </c>
      <c r="I20" s="261"/>
      <c r="J20" s="262">
        <f t="shared" si="3"/>
        <v>0</v>
      </c>
      <c r="K20" s="262">
        <f t="shared" si="4"/>
        <v>0</v>
      </c>
      <c r="L20">
        <f>K20*Calculations!Y20</f>
        <v>0</v>
      </c>
    </row>
    <row r="21" spans="1:12">
      <c r="A21" s="255">
        <v>73</v>
      </c>
      <c r="B21" s="264" t="s">
        <v>673</v>
      </c>
      <c r="C21" s="257">
        <v>16</v>
      </c>
      <c r="D21" s="258">
        <v>45868.97</v>
      </c>
      <c r="E21" s="259">
        <f t="shared" si="0"/>
        <v>733903.52</v>
      </c>
      <c r="F21" s="248"/>
      <c r="G21" s="258">
        <f t="shared" si="1"/>
        <v>2434.4500000000044</v>
      </c>
      <c r="H21" s="260">
        <f t="shared" si="2"/>
        <v>5.6048737271644868E-2</v>
      </c>
      <c r="I21" s="261"/>
      <c r="J21" s="262">
        <f t="shared" si="3"/>
        <v>3.1219146660306195E-2</v>
      </c>
      <c r="K21" s="262">
        <f t="shared" si="4"/>
        <v>3.1219146660306195E-2</v>
      </c>
      <c r="L21">
        <f>K21*Calculations!Y21</f>
        <v>13.176305694365491</v>
      </c>
    </row>
    <row r="22" spans="1:12">
      <c r="A22" s="255">
        <v>83</v>
      </c>
      <c r="B22" s="256" t="s">
        <v>674</v>
      </c>
      <c r="C22" s="257">
        <v>63</v>
      </c>
      <c r="D22" s="258">
        <v>44753.06</v>
      </c>
      <c r="E22" s="259">
        <f t="shared" si="0"/>
        <v>2819442.78</v>
      </c>
      <c r="F22" s="248"/>
      <c r="G22" s="258">
        <f t="shared" si="1"/>
        <v>1318.5400000000009</v>
      </c>
      <c r="H22" s="260">
        <f t="shared" si="2"/>
        <v>3.035696031635669E-2</v>
      </c>
      <c r="I22" s="261"/>
      <c r="J22" s="262">
        <f t="shared" si="3"/>
        <v>1.6908826896210677E-2</v>
      </c>
      <c r="K22" s="262">
        <f t="shared" si="4"/>
        <v>1.6908826896210677E-2</v>
      </c>
      <c r="L22">
        <f>K22*Calculations!Y22</f>
        <v>22.147737343301841</v>
      </c>
    </row>
    <row r="23" spans="1:12">
      <c r="A23" s="255">
        <v>84</v>
      </c>
      <c r="B23" s="256" t="s">
        <v>675</v>
      </c>
      <c r="C23" s="257">
        <v>194.14</v>
      </c>
      <c r="D23" s="258">
        <v>44783.44</v>
      </c>
      <c r="E23" s="259">
        <f t="shared" si="0"/>
        <v>8694257.0399999991</v>
      </c>
      <c r="F23" s="248"/>
      <c r="G23" s="258">
        <f t="shared" si="1"/>
        <v>1348.9200000000055</v>
      </c>
      <c r="H23" s="260">
        <f t="shared" si="2"/>
        <v>3.1056403984664863E-2</v>
      </c>
      <c r="I23" s="261"/>
      <c r="J23" s="262">
        <f t="shared" si="3"/>
        <v>1.7298417019458331E-2</v>
      </c>
      <c r="K23" s="262">
        <f t="shared" si="4"/>
        <v>1.7298417019458331E-2</v>
      </c>
      <c r="L23">
        <f>K23*Calculations!Y23</f>
        <v>76.843614799910057</v>
      </c>
    </row>
    <row r="24" spans="1:12">
      <c r="A24" s="255">
        <v>91</v>
      </c>
      <c r="B24" s="256" t="s">
        <v>676</v>
      </c>
      <c r="C24" s="257">
        <v>496.78</v>
      </c>
      <c r="D24" s="258">
        <v>43096.31</v>
      </c>
      <c r="E24" s="259">
        <f t="shared" si="0"/>
        <v>21409384.879999999</v>
      </c>
      <c r="F24" s="248"/>
      <c r="G24" s="258">
        <f t="shared" si="1"/>
        <v>-338.20999999999913</v>
      </c>
      <c r="H24" s="260">
        <f t="shared" si="2"/>
        <v>-7.7866636951438428E-3</v>
      </c>
      <c r="I24" s="261"/>
      <c r="J24" s="262">
        <f t="shared" si="3"/>
        <v>0</v>
      </c>
      <c r="K24" s="262">
        <f t="shared" si="4"/>
        <v>0</v>
      </c>
      <c r="L24">
        <f>K24*Calculations!Y24</f>
        <v>0</v>
      </c>
    </row>
    <row r="25" spans="1:12">
      <c r="A25" s="255">
        <v>92</v>
      </c>
      <c r="B25" s="263" t="s">
        <v>677</v>
      </c>
      <c r="C25" s="257">
        <v>4</v>
      </c>
      <c r="D25" s="258">
        <v>36149.75</v>
      </c>
      <c r="E25" s="259">
        <f t="shared" si="0"/>
        <v>144599</v>
      </c>
      <c r="F25" s="248"/>
      <c r="G25" s="258">
        <f t="shared" si="1"/>
        <v>-7284.7699999999968</v>
      </c>
      <c r="H25" s="260">
        <f t="shared" si="2"/>
        <v>-0.16771844146084722</v>
      </c>
      <c r="I25" s="261"/>
      <c r="J25" s="262">
        <f t="shared" si="3"/>
        <v>0</v>
      </c>
      <c r="K25" s="262">
        <f t="shared" si="4"/>
        <v>0</v>
      </c>
      <c r="L25">
        <f>K25*Calculations!Y25</f>
        <v>0</v>
      </c>
    </row>
    <row r="26" spans="1:12">
      <c r="A26" s="255">
        <v>93</v>
      </c>
      <c r="B26" s="256" t="s">
        <v>678</v>
      </c>
      <c r="C26" s="257">
        <v>607.23</v>
      </c>
      <c r="D26" s="258">
        <v>41887.519999999997</v>
      </c>
      <c r="E26" s="259">
        <f t="shared" si="0"/>
        <v>25435358.77</v>
      </c>
      <c r="F26" s="248"/>
      <c r="G26" s="258">
        <f t="shared" si="1"/>
        <v>-1547</v>
      </c>
      <c r="H26" s="260">
        <f t="shared" si="2"/>
        <v>-3.5616831957622649E-2</v>
      </c>
      <c r="I26" s="261"/>
      <c r="J26" s="262">
        <f t="shared" si="3"/>
        <v>0</v>
      </c>
      <c r="K26" s="262">
        <f t="shared" si="4"/>
        <v>0</v>
      </c>
      <c r="L26">
        <f>K26*Calculations!Y26</f>
        <v>0</v>
      </c>
    </row>
    <row r="27" spans="1:12">
      <c r="A27" s="255">
        <v>101</v>
      </c>
      <c r="B27" s="256" t="s">
        <v>679</v>
      </c>
      <c r="C27" s="257">
        <v>77.84</v>
      </c>
      <c r="D27" s="258">
        <v>42786.2</v>
      </c>
      <c r="E27" s="259">
        <f t="shared" si="0"/>
        <v>3330477.81</v>
      </c>
      <c r="F27" s="248"/>
      <c r="G27" s="258">
        <f t="shared" si="1"/>
        <v>-648.31999999999971</v>
      </c>
      <c r="H27" s="260">
        <f t="shared" si="2"/>
        <v>-1.4926376531846093E-2</v>
      </c>
      <c r="I27" s="261"/>
      <c r="J27" s="262">
        <f t="shared" si="3"/>
        <v>0</v>
      </c>
      <c r="K27" s="262">
        <f t="shared" si="4"/>
        <v>0</v>
      </c>
      <c r="L27">
        <f>K27*Calculations!Y27</f>
        <v>0</v>
      </c>
    </row>
    <row r="28" spans="1:12">
      <c r="A28" s="255">
        <v>111</v>
      </c>
      <c r="B28" s="256" t="s">
        <v>680</v>
      </c>
      <c r="C28" s="257">
        <v>28.38</v>
      </c>
      <c r="D28" s="258">
        <v>44224.68</v>
      </c>
      <c r="E28" s="259">
        <f t="shared" si="0"/>
        <v>1255096.42</v>
      </c>
      <c r="F28" s="248"/>
      <c r="G28" s="258">
        <f t="shared" si="1"/>
        <v>790.16000000000349</v>
      </c>
      <c r="H28" s="260">
        <f t="shared" si="2"/>
        <v>1.8191981861431956E-2</v>
      </c>
      <c r="I28" s="261"/>
      <c r="J28" s="262">
        <f t="shared" si="3"/>
        <v>1.0132933896817601E-2</v>
      </c>
      <c r="K28" s="262">
        <f t="shared" si="4"/>
        <v>1.0132933896817601E-2</v>
      </c>
      <c r="L28">
        <f>K28*Calculations!Y28</f>
        <v>7.4263962117894007</v>
      </c>
    </row>
    <row r="29" spans="1:12">
      <c r="A29" s="255">
        <v>121</v>
      </c>
      <c r="B29" s="264" t="s">
        <v>681</v>
      </c>
      <c r="C29" s="257">
        <v>15.09</v>
      </c>
      <c r="D29" s="258">
        <v>42845.87</v>
      </c>
      <c r="E29" s="259">
        <f t="shared" si="0"/>
        <v>646544.18000000005</v>
      </c>
      <c r="F29" s="248"/>
      <c r="G29" s="258">
        <f t="shared" si="1"/>
        <v>-588.64999999999418</v>
      </c>
      <c r="H29" s="260">
        <f t="shared" si="2"/>
        <v>-1.3552584442051948E-2</v>
      </c>
      <c r="I29" s="261"/>
      <c r="J29" s="262">
        <f t="shared" si="3"/>
        <v>0</v>
      </c>
      <c r="K29" s="262">
        <f t="shared" si="4"/>
        <v>0</v>
      </c>
      <c r="L29">
        <f>K29*Calculations!Y29</f>
        <v>0</v>
      </c>
    </row>
    <row r="30" spans="1:12">
      <c r="A30" s="255">
        <v>131</v>
      </c>
      <c r="B30" s="256" t="s">
        <v>682</v>
      </c>
      <c r="C30" s="257">
        <v>733.93</v>
      </c>
      <c r="D30" s="258">
        <v>42849.69</v>
      </c>
      <c r="E30" s="259">
        <f t="shared" si="0"/>
        <v>31448672.98</v>
      </c>
      <c r="F30" s="248"/>
      <c r="G30" s="258">
        <f t="shared" si="1"/>
        <v>-584.82999999999447</v>
      </c>
      <c r="H30" s="260">
        <f t="shared" si="2"/>
        <v>-1.346463596236345E-2</v>
      </c>
      <c r="I30" s="261"/>
      <c r="J30" s="262">
        <f t="shared" si="3"/>
        <v>0</v>
      </c>
      <c r="K30" s="262">
        <f t="shared" si="4"/>
        <v>0</v>
      </c>
      <c r="L30">
        <f>K30*Calculations!Y30</f>
        <v>0</v>
      </c>
    </row>
    <row r="31" spans="1:12">
      <c r="A31" s="255">
        <v>132</v>
      </c>
      <c r="B31" s="256" t="s">
        <v>683</v>
      </c>
      <c r="C31" s="257">
        <v>304.55</v>
      </c>
      <c r="D31" s="258">
        <v>41883.26</v>
      </c>
      <c r="E31" s="259">
        <f t="shared" si="0"/>
        <v>12755546.83</v>
      </c>
      <c r="F31" s="248"/>
      <c r="G31" s="258">
        <f t="shared" si="1"/>
        <v>-1551.2599999999948</v>
      </c>
      <c r="H31" s="260">
        <f t="shared" si="2"/>
        <v>-3.571491062868877E-2</v>
      </c>
      <c r="I31" s="261"/>
      <c r="J31" s="262">
        <f t="shared" si="3"/>
        <v>0</v>
      </c>
      <c r="K31" s="262">
        <f t="shared" si="4"/>
        <v>0</v>
      </c>
      <c r="L31">
        <f>K31*Calculations!Y31</f>
        <v>0</v>
      </c>
    </row>
    <row r="32" spans="1:12">
      <c r="A32" s="255">
        <v>133</v>
      </c>
      <c r="B32" s="264" t="s">
        <v>684</v>
      </c>
      <c r="C32" s="257">
        <v>30.04</v>
      </c>
      <c r="D32" s="258">
        <v>42471.58</v>
      </c>
      <c r="E32" s="259">
        <f t="shared" si="0"/>
        <v>1275846.26</v>
      </c>
      <c r="F32" s="248"/>
      <c r="G32" s="258">
        <f t="shared" si="1"/>
        <v>-962.93999999999505</v>
      </c>
      <c r="H32" s="260">
        <f t="shared" si="2"/>
        <v>-2.2169923830169993E-2</v>
      </c>
      <c r="I32" s="261"/>
      <c r="J32" s="262">
        <f t="shared" si="3"/>
        <v>0</v>
      </c>
      <c r="K32" s="262">
        <f t="shared" si="4"/>
        <v>0</v>
      </c>
      <c r="L32">
        <f>K32*Calculations!Y32</f>
        <v>0</v>
      </c>
    </row>
    <row r="33" spans="1:12">
      <c r="A33" s="255">
        <v>134</v>
      </c>
      <c r="B33" s="264" t="s">
        <v>685</v>
      </c>
      <c r="C33" s="257">
        <v>191.18</v>
      </c>
      <c r="D33" s="258">
        <v>42799.26</v>
      </c>
      <c r="E33" s="259">
        <f t="shared" si="0"/>
        <v>8182362.5300000003</v>
      </c>
      <c r="F33" s="248"/>
      <c r="G33" s="258">
        <f t="shared" si="1"/>
        <v>-635.25999999999476</v>
      </c>
      <c r="H33" s="260">
        <f t="shared" si="2"/>
        <v>-1.4625694033225067E-2</v>
      </c>
      <c r="I33" s="261"/>
      <c r="J33" s="262">
        <f t="shared" si="3"/>
        <v>0</v>
      </c>
      <c r="K33" s="262">
        <f t="shared" si="4"/>
        <v>0</v>
      </c>
      <c r="L33">
        <f>K33*Calculations!Y33</f>
        <v>0</v>
      </c>
    </row>
    <row r="34" spans="1:12">
      <c r="A34" s="255">
        <v>135</v>
      </c>
      <c r="B34" s="264" t="s">
        <v>686</v>
      </c>
      <c r="C34" s="257">
        <v>29.14</v>
      </c>
      <c r="D34" s="258">
        <v>42617.279999999999</v>
      </c>
      <c r="E34" s="259">
        <f t="shared" si="0"/>
        <v>1241867.54</v>
      </c>
      <c r="F34" s="248"/>
      <c r="G34" s="258">
        <f t="shared" si="1"/>
        <v>-817.23999999999796</v>
      </c>
      <c r="H34" s="260">
        <f t="shared" si="2"/>
        <v>-1.881544909440689E-2</v>
      </c>
      <c r="I34" s="261"/>
      <c r="J34" s="262">
        <f t="shared" si="3"/>
        <v>0</v>
      </c>
      <c r="K34" s="262">
        <f t="shared" si="4"/>
        <v>0</v>
      </c>
      <c r="L34">
        <f>K34*Calculations!Y34</f>
        <v>0</v>
      </c>
    </row>
    <row r="35" spans="1:12">
      <c r="A35" s="255">
        <v>136</v>
      </c>
      <c r="B35" s="263" t="s">
        <v>687</v>
      </c>
      <c r="C35" s="257">
        <v>44.75</v>
      </c>
      <c r="D35" s="258">
        <v>42538.51</v>
      </c>
      <c r="E35" s="259">
        <f t="shared" si="0"/>
        <v>1903598.32</v>
      </c>
      <c r="F35" s="248"/>
      <c r="G35" s="258">
        <f t="shared" si="1"/>
        <v>-896.00999999999476</v>
      </c>
      <c r="H35" s="260">
        <f t="shared" si="2"/>
        <v>-2.0628983582643364E-2</v>
      </c>
      <c r="I35" s="261"/>
      <c r="J35" s="262">
        <f t="shared" si="3"/>
        <v>0</v>
      </c>
      <c r="K35" s="262">
        <f t="shared" si="4"/>
        <v>0</v>
      </c>
      <c r="L35">
        <f>K35*Calculations!Y35</f>
        <v>0</v>
      </c>
    </row>
    <row r="36" spans="1:12">
      <c r="A36" s="255">
        <v>137</v>
      </c>
      <c r="B36" s="266" t="s">
        <v>688</v>
      </c>
      <c r="C36" s="257">
        <v>58.41</v>
      </c>
      <c r="D36" s="258">
        <v>42932.46</v>
      </c>
      <c r="E36" s="259">
        <f t="shared" si="0"/>
        <v>2507684.9900000002</v>
      </c>
      <c r="F36" s="248"/>
      <c r="G36" s="258">
        <f t="shared" si="1"/>
        <v>-502.05999999999767</v>
      </c>
      <c r="H36" s="260">
        <f t="shared" si="2"/>
        <v>-1.1559008825238489E-2</v>
      </c>
      <c r="I36" s="261"/>
      <c r="J36" s="262">
        <f t="shared" si="3"/>
        <v>0</v>
      </c>
      <c r="K36" s="262">
        <f t="shared" si="4"/>
        <v>0</v>
      </c>
      <c r="L36">
        <f>K36*Calculations!Y36</f>
        <v>0</v>
      </c>
    </row>
    <row r="37" spans="1:12">
      <c r="A37" s="255">
        <v>139</v>
      </c>
      <c r="B37" s="266" t="s">
        <v>689</v>
      </c>
      <c r="C37" s="257">
        <v>419.99</v>
      </c>
      <c r="D37" s="258">
        <v>42915.81</v>
      </c>
      <c r="E37" s="259">
        <f t="shared" si="0"/>
        <v>18024211.039999999</v>
      </c>
      <c r="F37" s="248"/>
      <c r="G37" s="258">
        <f t="shared" si="1"/>
        <v>-518.70999999999913</v>
      </c>
      <c r="H37" s="260">
        <f t="shared" si="2"/>
        <v>-1.1942344476236854E-2</v>
      </c>
      <c r="I37" s="261"/>
      <c r="J37" s="262">
        <f t="shared" si="3"/>
        <v>0</v>
      </c>
      <c r="K37" s="262">
        <f t="shared" si="4"/>
        <v>0</v>
      </c>
      <c r="L37">
        <f>K37*Calculations!Y37</f>
        <v>0</v>
      </c>
    </row>
    <row r="38" spans="1:12">
      <c r="A38" s="255">
        <v>148</v>
      </c>
      <c r="B38" s="263" t="s">
        <v>690</v>
      </c>
      <c r="C38" s="257">
        <v>33.609090909090902</v>
      </c>
      <c r="D38" s="258">
        <v>43960.86</v>
      </c>
      <c r="E38" s="259">
        <f t="shared" si="0"/>
        <v>1477484.54</v>
      </c>
      <c r="F38" s="248"/>
      <c r="G38" s="258">
        <f t="shared" si="1"/>
        <v>526.34000000000378</v>
      </c>
      <c r="H38" s="260">
        <f t="shared" si="2"/>
        <v>1.2118011203991752E-2</v>
      </c>
      <c r="I38" s="261"/>
      <c r="J38" s="262">
        <f t="shared" si="3"/>
        <v>6.7497322406234062E-3</v>
      </c>
      <c r="K38" s="262">
        <f t="shared" si="4"/>
        <v>6.7497322406234062E-3</v>
      </c>
      <c r="L38">
        <f>K38*Calculations!Y38</f>
        <v>5.9680580933600593</v>
      </c>
    </row>
    <row r="39" spans="1:12">
      <c r="A39" s="255">
        <v>149</v>
      </c>
      <c r="B39" s="264" t="s">
        <v>691</v>
      </c>
      <c r="C39" s="257">
        <v>16.2225</v>
      </c>
      <c r="D39" s="258">
        <v>43471.1</v>
      </c>
      <c r="E39" s="259">
        <f t="shared" si="0"/>
        <v>705209.92</v>
      </c>
      <c r="F39" s="248"/>
      <c r="G39" s="258">
        <f t="shared" si="1"/>
        <v>36.580000000001746</v>
      </c>
      <c r="H39" s="260">
        <f t="shared" si="2"/>
        <v>8.4218727408526099E-4</v>
      </c>
      <c r="I39" s="261"/>
      <c r="J39" s="262">
        <f t="shared" si="3"/>
        <v>4.6909831166549044E-4</v>
      </c>
      <c r="K39" s="262">
        <f t="shared" si="4"/>
        <v>4.6909831166549044E-4</v>
      </c>
      <c r="L39">
        <f>K39*Calculations!Y39</f>
        <v>0.16591692002486072</v>
      </c>
    </row>
    <row r="40" spans="1:12">
      <c r="A40" s="255">
        <v>150</v>
      </c>
      <c r="B40" s="264" t="s">
        <v>692</v>
      </c>
      <c r="C40" s="257">
        <v>43.42</v>
      </c>
      <c r="D40" s="258">
        <v>43197.89</v>
      </c>
      <c r="E40" s="259">
        <f t="shared" si="0"/>
        <v>1875652.38</v>
      </c>
      <c r="F40" s="248"/>
      <c r="G40" s="258">
        <f t="shared" si="1"/>
        <v>-236.62999999999738</v>
      </c>
      <c r="H40" s="260">
        <f t="shared" si="2"/>
        <v>-5.4479708766206553E-3</v>
      </c>
      <c r="I40" s="261"/>
      <c r="J40" s="262">
        <f t="shared" si="3"/>
        <v>0</v>
      </c>
      <c r="K40" s="262">
        <f t="shared" si="4"/>
        <v>0</v>
      </c>
      <c r="L40">
        <f>K40*Calculations!Y40</f>
        <v>0</v>
      </c>
    </row>
    <row r="41" spans="1:12">
      <c r="A41" s="255">
        <v>151</v>
      </c>
      <c r="B41" s="256" t="s">
        <v>693</v>
      </c>
      <c r="C41" s="257">
        <v>291.45</v>
      </c>
      <c r="D41" s="258">
        <v>42915.75</v>
      </c>
      <c r="E41" s="259">
        <f t="shared" si="0"/>
        <v>12507795.34</v>
      </c>
      <c r="F41" s="248"/>
      <c r="G41" s="258">
        <f t="shared" si="1"/>
        <v>-518.7699999999968</v>
      </c>
      <c r="H41" s="260">
        <f t="shared" si="2"/>
        <v>-1.1943725865970128E-2</v>
      </c>
      <c r="I41" s="261"/>
      <c r="J41" s="262">
        <f t="shared" si="3"/>
        <v>0</v>
      </c>
      <c r="K41" s="262">
        <f t="shared" si="4"/>
        <v>0</v>
      </c>
      <c r="L41">
        <f>K41*Calculations!Y41</f>
        <v>0</v>
      </c>
    </row>
    <row r="42" spans="1:12">
      <c r="A42" s="255">
        <v>161</v>
      </c>
      <c r="B42" s="264" t="s">
        <v>694</v>
      </c>
      <c r="C42" s="257">
        <v>15.21</v>
      </c>
      <c r="D42" s="258">
        <v>43503.83</v>
      </c>
      <c r="E42" s="259">
        <f t="shared" si="0"/>
        <v>661693.25</v>
      </c>
      <c r="F42" s="248"/>
      <c r="G42" s="258">
        <f t="shared" si="1"/>
        <v>69.310000000004948</v>
      </c>
      <c r="H42" s="260">
        <f t="shared" si="2"/>
        <v>1.5957353736153858E-3</v>
      </c>
      <c r="I42" s="261"/>
      <c r="J42" s="262">
        <f t="shared" si="3"/>
        <v>8.8882460310377002E-4</v>
      </c>
      <c r="K42" s="262">
        <f t="shared" si="4"/>
        <v>8.8882460310377002E-4</v>
      </c>
      <c r="L42">
        <f>K42*Calculations!Y42</f>
        <v>0.27594562308347753</v>
      </c>
    </row>
    <row r="43" spans="1:12">
      <c r="A43" s="255">
        <v>171</v>
      </c>
      <c r="B43" s="256" t="s">
        <v>695</v>
      </c>
      <c r="C43" s="257">
        <v>72.45</v>
      </c>
      <c r="D43" s="258">
        <v>45150.05</v>
      </c>
      <c r="E43" s="259">
        <f t="shared" si="0"/>
        <v>3271121.12</v>
      </c>
      <c r="F43" s="248"/>
      <c r="G43" s="258">
        <f t="shared" si="1"/>
        <v>1715.5300000000061</v>
      </c>
      <c r="H43" s="260">
        <f t="shared" si="2"/>
        <v>3.9496925486917002E-2</v>
      </c>
      <c r="I43" s="261"/>
      <c r="J43" s="262">
        <f t="shared" si="3"/>
        <v>2.1999787496212772E-2</v>
      </c>
      <c r="K43" s="262">
        <f t="shared" si="4"/>
        <v>2.1999787496212772E-2</v>
      </c>
      <c r="L43">
        <f>K43*Calculations!Y43</f>
        <v>32.688354072917775</v>
      </c>
    </row>
    <row r="44" spans="1:12">
      <c r="A44" s="255">
        <v>181</v>
      </c>
      <c r="B44" s="264" t="s">
        <v>696</v>
      </c>
      <c r="C44" s="257">
        <v>24.18</v>
      </c>
      <c r="D44" s="258">
        <v>43338.26</v>
      </c>
      <c r="E44" s="259">
        <f t="shared" si="0"/>
        <v>1047919.13</v>
      </c>
      <c r="F44" s="248"/>
      <c r="G44" s="258">
        <f t="shared" si="1"/>
        <v>-96.259999999994761</v>
      </c>
      <c r="H44" s="260">
        <f t="shared" si="2"/>
        <v>-2.2162095955013377E-3</v>
      </c>
      <c r="I44" s="261"/>
      <c r="J44" s="262">
        <f t="shared" si="3"/>
        <v>0</v>
      </c>
      <c r="K44" s="262">
        <f t="shared" si="4"/>
        <v>0</v>
      </c>
      <c r="L44">
        <f>K44*Calculations!Y44</f>
        <v>0</v>
      </c>
    </row>
    <row r="45" spans="1:12">
      <c r="A45" s="255">
        <v>182</v>
      </c>
      <c r="B45" s="264" t="s">
        <v>697</v>
      </c>
      <c r="C45" s="257">
        <v>16.43</v>
      </c>
      <c r="D45" s="258">
        <v>44744.53</v>
      </c>
      <c r="E45" s="259">
        <f t="shared" si="0"/>
        <v>735152.63</v>
      </c>
      <c r="F45" s="248"/>
      <c r="G45" s="258">
        <f t="shared" si="1"/>
        <v>1310.010000000002</v>
      </c>
      <c r="H45" s="260">
        <f t="shared" si="2"/>
        <v>3.0160572742602015E-2</v>
      </c>
      <c r="I45" s="261"/>
      <c r="J45" s="262">
        <f t="shared" si="3"/>
        <v>1.6799439017629324E-2</v>
      </c>
      <c r="K45" s="262">
        <f t="shared" si="4"/>
        <v>1.6799439017629324E-2</v>
      </c>
      <c r="L45">
        <f>K45*Calculations!Y45</f>
        <v>6.5536268788592764</v>
      </c>
    </row>
    <row r="46" spans="1:12">
      <c r="A46" s="255">
        <v>191</v>
      </c>
      <c r="B46" s="264" t="s">
        <v>698</v>
      </c>
      <c r="C46" s="257">
        <v>0.87999999999999901</v>
      </c>
      <c r="D46" s="258">
        <v>38999</v>
      </c>
      <c r="E46" s="259">
        <f t="shared" si="0"/>
        <v>34319.120000000003</v>
      </c>
      <c r="F46" s="248"/>
      <c r="G46" s="258">
        <f t="shared" si="1"/>
        <v>-4435.5199999999968</v>
      </c>
      <c r="H46" s="260">
        <f t="shared" si="2"/>
        <v>-0.10211969649946626</v>
      </c>
      <c r="I46" s="261"/>
      <c r="J46" s="262">
        <f t="shared" si="3"/>
        <v>0</v>
      </c>
      <c r="K46" s="262">
        <f t="shared" si="4"/>
        <v>0</v>
      </c>
      <c r="L46">
        <f>K46*Calculations!Y46</f>
        <v>0</v>
      </c>
    </row>
    <row r="47" spans="1:12">
      <c r="A47" s="255">
        <v>192</v>
      </c>
      <c r="B47" s="264" t="s">
        <v>699</v>
      </c>
      <c r="C47" s="257">
        <v>26.772608695652199</v>
      </c>
      <c r="D47" s="258">
        <v>44382.49</v>
      </c>
      <c r="E47" s="259">
        <f t="shared" si="0"/>
        <v>1188235.04</v>
      </c>
      <c r="F47" s="248"/>
      <c r="G47" s="258">
        <f t="shared" si="1"/>
        <v>947.97000000000116</v>
      </c>
      <c r="H47" s="260">
        <f t="shared" si="2"/>
        <v>2.1825267091704969E-2</v>
      </c>
      <c r="I47" s="261"/>
      <c r="J47" s="262">
        <f t="shared" si="3"/>
        <v>1.2156673770079668E-2</v>
      </c>
      <c r="K47" s="262">
        <f t="shared" si="4"/>
        <v>1.2156673770079668E-2</v>
      </c>
      <c r="L47">
        <f>K47*Calculations!Y47</f>
        <v>7.9862646636811991</v>
      </c>
    </row>
    <row r="48" spans="1:12">
      <c r="A48" s="255">
        <v>193</v>
      </c>
      <c r="B48" s="256" t="s">
        <v>700</v>
      </c>
      <c r="C48" s="257">
        <v>185.01</v>
      </c>
      <c r="D48" s="258">
        <v>43793.55</v>
      </c>
      <c r="E48" s="259">
        <f t="shared" si="0"/>
        <v>8102244.6900000004</v>
      </c>
      <c r="F48" s="248"/>
      <c r="G48" s="258">
        <f t="shared" si="1"/>
        <v>359.03000000000611</v>
      </c>
      <c r="H48" s="260">
        <f t="shared" si="2"/>
        <v>8.2660059326085823E-3</v>
      </c>
      <c r="I48" s="261"/>
      <c r="J48" s="262">
        <f t="shared" si="3"/>
        <v>4.6041653044629803E-3</v>
      </c>
      <c r="K48" s="262">
        <f t="shared" si="4"/>
        <v>4.6041653044629803E-3</v>
      </c>
      <c r="L48">
        <f>K48*Calculations!Y48</f>
        <v>22.243051241533799</v>
      </c>
    </row>
    <row r="49" spans="1:12">
      <c r="A49" s="255">
        <v>201</v>
      </c>
      <c r="B49" s="264" t="s">
        <v>701</v>
      </c>
      <c r="C49" s="257">
        <v>118.59</v>
      </c>
      <c r="D49" s="258">
        <v>43508.89</v>
      </c>
      <c r="E49" s="259">
        <f t="shared" si="0"/>
        <v>5159719.2699999996</v>
      </c>
      <c r="F49" s="248"/>
      <c r="G49" s="258">
        <f t="shared" si="1"/>
        <v>74.370000000002619</v>
      </c>
      <c r="H49" s="260">
        <f t="shared" si="2"/>
        <v>1.7122325744592694E-3</v>
      </c>
      <c r="I49" s="261"/>
      <c r="J49" s="262">
        <f t="shared" si="3"/>
        <v>9.5371354397381317E-4</v>
      </c>
      <c r="K49" s="262">
        <f t="shared" si="4"/>
        <v>9.5371354397381317E-4</v>
      </c>
      <c r="L49">
        <f>K49*Calculations!Y49</f>
        <v>2.7450183782342767</v>
      </c>
    </row>
    <row r="50" spans="1:12">
      <c r="A50" s="255">
        <v>202</v>
      </c>
      <c r="B50" s="264" t="s">
        <v>702</v>
      </c>
      <c r="C50" s="257">
        <v>38.08</v>
      </c>
      <c r="D50" s="258">
        <v>43028.54</v>
      </c>
      <c r="E50" s="259">
        <f t="shared" si="0"/>
        <v>1638526.8</v>
      </c>
      <c r="F50" s="248"/>
      <c r="G50" s="258">
        <f t="shared" si="1"/>
        <v>-405.97999999999593</v>
      </c>
      <c r="H50" s="260">
        <f t="shared" si="2"/>
        <v>-9.3469433989369737E-3</v>
      </c>
      <c r="I50" s="261"/>
      <c r="J50" s="262">
        <f t="shared" si="3"/>
        <v>0</v>
      </c>
      <c r="K50" s="262">
        <f t="shared" si="4"/>
        <v>0</v>
      </c>
      <c r="L50">
        <f>K50*Calculations!Y50</f>
        <v>0</v>
      </c>
    </row>
    <row r="51" spans="1:12">
      <c r="A51" s="255">
        <v>215</v>
      </c>
      <c r="B51" s="256" t="s">
        <v>703</v>
      </c>
      <c r="C51" s="257">
        <v>125.05</v>
      </c>
      <c r="D51" s="258">
        <v>43748.1</v>
      </c>
      <c r="E51" s="259">
        <f t="shared" si="0"/>
        <v>5470699.9100000001</v>
      </c>
      <c r="F51" s="248"/>
      <c r="G51" s="258">
        <f t="shared" si="1"/>
        <v>313.58000000000175</v>
      </c>
      <c r="H51" s="260">
        <f t="shared" si="2"/>
        <v>7.2196032096130394E-3</v>
      </c>
      <c r="I51" s="261"/>
      <c r="J51" s="262">
        <f t="shared" si="3"/>
        <v>4.0213189877544636E-3</v>
      </c>
      <c r="K51" s="262">
        <f t="shared" si="4"/>
        <v>4.0213189877544636E-3</v>
      </c>
      <c r="L51">
        <f>K51*Calculations!Y51</f>
        <v>10.186692003869059</v>
      </c>
    </row>
    <row r="52" spans="1:12">
      <c r="A52" s="255">
        <v>221</v>
      </c>
      <c r="B52" s="256" t="s">
        <v>704</v>
      </c>
      <c r="C52" s="257">
        <v>122.85</v>
      </c>
      <c r="D52" s="258">
        <v>42285.53</v>
      </c>
      <c r="E52" s="259">
        <f t="shared" si="0"/>
        <v>5194777.3600000003</v>
      </c>
      <c r="F52" s="248"/>
      <c r="G52" s="258">
        <f t="shared" si="1"/>
        <v>-1148.989999999998</v>
      </c>
      <c r="H52" s="260">
        <f t="shared" si="2"/>
        <v>-2.6453383161595848E-2</v>
      </c>
      <c r="I52" s="261"/>
      <c r="J52" s="262">
        <f t="shared" si="3"/>
        <v>0</v>
      </c>
      <c r="K52" s="262">
        <f t="shared" si="4"/>
        <v>0</v>
      </c>
      <c r="L52">
        <f>K52*Calculations!Y52</f>
        <v>0</v>
      </c>
    </row>
    <row r="53" spans="1:12">
      <c r="A53" s="255">
        <v>231</v>
      </c>
      <c r="B53" s="256" t="s">
        <v>705</v>
      </c>
      <c r="C53" s="257">
        <v>68.9951748251748</v>
      </c>
      <c r="D53" s="258">
        <v>41905.230000000003</v>
      </c>
      <c r="E53" s="259">
        <f t="shared" si="0"/>
        <v>2891258.67</v>
      </c>
      <c r="F53" s="248"/>
      <c r="G53" s="258">
        <f t="shared" si="1"/>
        <v>-1529.2899999999936</v>
      </c>
      <c r="H53" s="260">
        <f t="shared" si="2"/>
        <v>-3.5209091754668721E-2</v>
      </c>
      <c r="I53" s="261"/>
      <c r="J53" s="262">
        <f t="shared" si="3"/>
        <v>0</v>
      </c>
      <c r="K53" s="262">
        <f t="shared" si="4"/>
        <v>0</v>
      </c>
      <c r="L53">
        <f>K53*Calculations!Y53</f>
        <v>0</v>
      </c>
    </row>
    <row r="54" spans="1:12">
      <c r="A54" s="255">
        <v>232</v>
      </c>
      <c r="B54" s="266" t="s">
        <v>706</v>
      </c>
      <c r="C54" s="257">
        <v>64.5</v>
      </c>
      <c r="D54" s="258">
        <v>43548.99</v>
      </c>
      <c r="E54" s="259">
        <f t="shared" si="0"/>
        <v>2808909.86</v>
      </c>
      <c r="F54" s="248"/>
      <c r="G54" s="258">
        <f t="shared" si="1"/>
        <v>114.47000000000116</v>
      </c>
      <c r="H54" s="260">
        <f t="shared" si="2"/>
        <v>2.6354613795663258E-3</v>
      </c>
      <c r="I54" s="261"/>
      <c r="J54" s="262">
        <f t="shared" si="3"/>
        <v>1.4679519884184436E-3</v>
      </c>
      <c r="K54" s="262">
        <f t="shared" si="4"/>
        <v>1.4679519884184436E-3</v>
      </c>
      <c r="L54">
        <f>K54*Calculations!Y54</f>
        <v>2.1983423327293341</v>
      </c>
    </row>
    <row r="55" spans="1:12">
      <c r="A55" s="255">
        <v>233</v>
      </c>
      <c r="B55" s="264" t="s">
        <v>707</v>
      </c>
      <c r="C55" s="257">
        <v>22.45</v>
      </c>
      <c r="D55" s="258">
        <v>45644.98</v>
      </c>
      <c r="E55" s="259">
        <f t="shared" si="0"/>
        <v>1024729.8</v>
      </c>
      <c r="F55" s="248"/>
      <c r="G55" s="258">
        <f t="shared" si="1"/>
        <v>2210.4600000000064</v>
      </c>
      <c r="H55" s="260">
        <f t="shared" si="2"/>
        <v>5.0891779165511825E-2</v>
      </c>
      <c r="I55" s="261"/>
      <c r="J55" s="262">
        <f t="shared" si="3"/>
        <v>2.8346720995190089E-2</v>
      </c>
      <c r="K55" s="262">
        <f t="shared" si="4"/>
        <v>2.8346720995190089E-2</v>
      </c>
      <c r="L55">
        <f>K55*Calculations!Y55</f>
        <v>13.848721863604542</v>
      </c>
    </row>
    <row r="56" spans="1:12">
      <c r="A56" s="255">
        <v>234</v>
      </c>
      <c r="B56" s="264" t="s">
        <v>708</v>
      </c>
      <c r="C56" s="257">
        <v>13.79</v>
      </c>
      <c r="D56" s="258">
        <v>44121.59</v>
      </c>
      <c r="E56" s="259">
        <f t="shared" si="0"/>
        <v>608436.73</v>
      </c>
      <c r="F56" s="248"/>
      <c r="G56" s="258">
        <f t="shared" si="1"/>
        <v>687.06999999999971</v>
      </c>
      <c r="H56" s="260">
        <f t="shared" si="2"/>
        <v>1.5818524067953317E-2</v>
      </c>
      <c r="I56" s="261"/>
      <c r="J56" s="262">
        <f t="shared" si="3"/>
        <v>8.8109179058499989E-3</v>
      </c>
      <c r="K56" s="262">
        <f t="shared" si="4"/>
        <v>8.8109179058499989E-3</v>
      </c>
      <c r="L56">
        <f>K56*Calculations!Y56</f>
        <v>3.007306910697694</v>
      </c>
    </row>
    <row r="57" spans="1:12">
      <c r="A57" s="255">
        <v>242</v>
      </c>
      <c r="B57" s="264" t="s">
        <v>709</v>
      </c>
      <c r="C57" s="257">
        <v>28.42</v>
      </c>
      <c r="D57" s="258">
        <v>46301.23</v>
      </c>
      <c r="E57" s="259">
        <f t="shared" si="0"/>
        <v>1315880.96</v>
      </c>
      <c r="F57" s="248"/>
      <c r="G57" s="258">
        <f t="shared" si="1"/>
        <v>2866.7100000000064</v>
      </c>
      <c r="H57" s="260">
        <f t="shared" si="2"/>
        <v>6.6000729373779349E-2</v>
      </c>
      <c r="I57" s="261"/>
      <c r="J57" s="262">
        <f t="shared" si="3"/>
        <v>3.6762406261195098E-2</v>
      </c>
      <c r="K57" s="262">
        <f t="shared" si="4"/>
        <v>3.6762406261195098E-2</v>
      </c>
      <c r="L57">
        <f>K57*Calculations!Y57</f>
        <v>23.061819720175002</v>
      </c>
    </row>
    <row r="58" spans="1:12">
      <c r="A58" s="255">
        <v>243</v>
      </c>
      <c r="B58" s="264" t="s">
        <v>710</v>
      </c>
      <c r="C58" s="265">
        <v>13.5</v>
      </c>
      <c r="D58" s="258">
        <v>40757.67</v>
      </c>
      <c r="E58" s="259">
        <f t="shared" si="0"/>
        <v>550228.55000000005</v>
      </c>
      <c r="F58" s="248"/>
      <c r="G58" s="258">
        <f t="shared" si="1"/>
        <v>-2676.8499999999985</v>
      </c>
      <c r="H58" s="260">
        <f t="shared" si="2"/>
        <v>-6.1629551794287099E-2</v>
      </c>
      <c r="I58" s="261"/>
      <c r="J58" s="262">
        <f t="shared" si="3"/>
        <v>0</v>
      </c>
      <c r="K58" s="262">
        <f t="shared" si="4"/>
        <v>0</v>
      </c>
      <c r="L58">
        <f>K58*Calculations!Y58</f>
        <v>0</v>
      </c>
    </row>
    <row r="59" spans="1:12">
      <c r="A59" s="255">
        <v>244</v>
      </c>
      <c r="B59" s="256" t="s">
        <v>711</v>
      </c>
      <c r="C59" s="257">
        <v>73.489999999999995</v>
      </c>
      <c r="D59" s="258">
        <v>43374.080000000002</v>
      </c>
      <c r="E59" s="259">
        <f t="shared" si="0"/>
        <v>3187561.14</v>
      </c>
      <c r="F59" s="248"/>
      <c r="G59" s="258">
        <f t="shared" si="1"/>
        <v>-60.439999999995052</v>
      </c>
      <c r="H59" s="260">
        <f t="shared" si="2"/>
        <v>-1.3915199247049365E-3</v>
      </c>
      <c r="I59" s="261"/>
      <c r="J59" s="262">
        <f t="shared" si="3"/>
        <v>0</v>
      </c>
      <c r="K59" s="262">
        <f t="shared" si="4"/>
        <v>0</v>
      </c>
      <c r="L59">
        <f>K59*Calculations!Y59</f>
        <v>0</v>
      </c>
    </row>
    <row r="60" spans="1:12">
      <c r="A60" s="255">
        <v>251</v>
      </c>
      <c r="B60" s="256" t="s">
        <v>712</v>
      </c>
      <c r="C60" s="257">
        <v>266.56</v>
      </c>
      <c r="D60" s="258">
        <v>41619.019999999997</v>
      </c>
      <c r="E60" s="259">
        <f t="shared" si="0"/>
        <v>11093965.970000001</v>
      </c>
      <c r="F60" s="248"/>
      <c r="G60" s="258">
        <f t="shared" si="1"/>
        <v>-1815.5</v>
      </c>
      <c r="H60" s="260">
        <f t="shared" si="2"/>
        <v>-4.1798551014262393E-2</v>
      </c>
      <c r="I60" s="261"/>
      <c r="J60" s="262">
        <f t="shared" si="3"/>
        <v>0</v>
      </c>
      <c r="K60" s="262">
        <f t="shared" si="4"/>
        <v>0</v>
      </c>
      <c r="L60">
        <f>K60*Calculations!Y60</f>
        <v>0</v>
      </c>
    </row>
    <row r="61" spans="1:12">
      <c r="A61" s="255">
        <v>252</v>
      </c>
      <c r="B61" s="264" t="s">
        <v>713</v>
      </c>
      <c r="C61" s="265">
        <v>42.25</v>
      </c>
      <c r="D61" s="258">
        <v>42045.5</v>
      </c>
      <c r="E61" s="259">
        <f t="shared" si="0"/>
        <v>1776422.38</v>
      </c>
      <c r="F61" s="248"/>
      <c r="G61" s="258">
        <f t="shared" si="1"/>
        <v>-1389.0199999999968</v>
      </c>
      <c r="H61" s="260">
        <f t="shared" si="2"/>
        <v>-3.1979632789771749E-2</v>
      </c>
      <c r="I61" s="261"/>
      <c r="J61" s="262">
        <f t="shared" si="3"/>
        <v>0</v>
      </c>
      <c r="K61" s="262">
        <f t="shared" si="4"/>
        <v>0</v>
      </c>
      <c r="L61">
        <f>K61*Calculations!Y61</f>
        <v>0</v>
      </c>
    </row>
    <row r="62" spans="1:12">
      <c r="A62" s="255">
        <v>253</v>
      </c>
      <c r="B62" s="264" t="s">
        <v>714</v>
      </c>
      <c r="C62" s="257">
        <v>39.25</v>
      </c>
      <c r="D62" s="258">
        <v>42732.97</v>
      </c>
      <c r="E62" s="259">
        <f t="shared" si="0"/>
        <v>1677269.07</v>
      </c>
      <c r="F62" s="248"/>
      <c r="G62" s="258">
        <f t="shared" si="1"/>
        <v>-701.54999999999563</v>
      </c>
      <c r="H62" s="260">
        <f t="shared" si="2"/>
        <v>-1.6151899456929551E-2</v>
      </c>
      <c r="I62" s="261"/>
      <c r="J62" s="262">
        <f t="shared" si="3"/>
        <v>0</v>
      </c>
      <c r="K62" s="262">
        <f t="shared" si="4"/>
        <v>0</v>
      </c>
      <c r="L62">
        <f>K62*Calculations!Y62</f>
        <v>0</v>
      </c>
    </row>
    <row r="63" spans="1:12">
      <c r="A63" s="255">
        <v>261</v>
      </c>
      <c r="B63" s="256" t="s">
        <v>715</v>
      </c>
      <c r="C63" s="257">
        <v>192.83</v>
      </c>
      <c r="D63" s="258">
        <v>42667.51</v>
      </c>
      <c r="E63" s="259">
        <f t="shared" si="0"/>
        <v>8227575.9500000002</v>
      </c>
      <c r="F63" s="248"/>
      <c r="G63" s="258">
        <f t="shared" si="1"/>
        <v>-767.00999999999476</v>
      </c>
      <c r="H63" s="260">
        <f t="shared" si="2"/>
        <v>-1.7658995655989631E-2</v>
      </c>
      <c r="I63" s="261"/>
      <c r="J63" s="262">
        <f t="shared" si="3"/>
        <v>0</v>
      </c>
      <c r="K63" s="262">
        <f t="shared" si="4"/>
        <v>0</v>
      </c>
      <c r="L63">
        <f>K63*Calculations!Y63</f>
        <v>0</v>
      </c>
    </row>
    <row r="64" spans="1:12">
      <c r="A64" s="255">
        <v>262</v>
      </c>
      <c r="B64" s="264" t="s">
        <v>716</v>
      </c>
      <c r="C64" s="257">
        <v>36.65</v>
      </c>
      <c r="D64" s="258">
        <v>45578.5</v>
      </c>
      <c r="E64" s="259">
        <f t="shared" si="0"/>
        <v>1670452.03</v>
      </c>
      <c r="F64" s="248"/>
      <c r="G64" s="258">
        <f t="shared" si="1"/>
        <v>2143.9800000000032</v>
      </c>
      <c r="H64" s="260">
        <f t="shared" si="2"/>
        <v>4.9361199340985082E-2</v>
      </c>
      <c r="I64" s="261"/>
      <c r="J64" s="262">
        <f t="shared" si="3"/>
        <v>2.7494188032928694E-2</v>
      </c>
      <c r="K64" s="262">
        <f t="shared" si="4"/>
        <v>2.7494188032928694E-2</v>
      </c>
      <c r="L64">
        <f>K64*Calculations!Y64</f>
        <v>24.988859151124323</v>
      </c>
    </row>
    <row r="65" spans="1:12">
      <c r="A65" s="255">
        <v>271</v>
      </c>
      <c r="B65" s="256" t="s">
        <v>717</v>
      </c>
      <c r="C65" s="257">
        <v>532.79</v>
      </c>
      <c r="D65" s="258">
        <v>44357.41</v>
      </c>
      <c r="E65" s="259">
        <f t="shared" si="0"/>
        <v>23633184.469999999</v>
      </c>
      <c r="F65" s="248"/>
      <c r="G65" s="258">
        <f t="shared" si="1"/>
        <v>922.89000000000669</v>
      </c>
      <c r="H65" s="260">
        <f t="shared" si="2"/>
        <v>2.1247846183174275E-2</v>
      </c>
      <c r="I65" s="261"/>
      <c r="J65" s="262">
        <f t="shared" si="3"/>
        <v>1.1835050324028071E-2</v>
      </c>
      <c r="K65" s="262">
        <f t="shared" si="4"/>
        <v>1.1835050324028071E-2</v>
      </c>
      <c r="L65">
        <f>K65*Calculations!Y65</f>
        <v>142.84621699894109</v>
      </c>
    </row>
    <row r="66" spans="1:12">
      <c r="A66" s="255">
        <v>272</v>
      </c>
      <c r="B66" s="256" t="s">
        <v>718</v>
      </c>
      <c r="C66" s="257">
        <v>232.29</v>
      </c>
      <c r="D66" s="258">
        <v>44630.85</v>
      </c>
      <c r="E66" s="259">
        <f t="shared" si="0"/>
        <v>10367300.15</v>
      </c>
      <c r="F66" s="248"/>
      <c r="G66" s="258">
        <f t="shared" si="1"/>
        <v>1196.3300000000017</v>
      </c>
      <c r="H66" s="260">
        <f t="shared" si="2"/>
        <v>2.7543299661191185E-2</v>
      </c>
      <c r="I66" s="261"/>
      <c r="J66" s="262">
        <f t="shared" si="3"/>
        <v>1.5341617911283491E-2</v>
      </c>
      <c r="K66" s="262">
        <f t="shared" si="4"/>
        <v>1.5341617911283491E-2</v>
      </c>
      <c r="L66">
        <f>K66*Calculations!Y66</f>
        <v>76.552740333447801</v>
      </c>
    </row>
    <row r="67" spans="1:12">
      <c r="A67" s="255">
        <v>273</v>
      </c>
      <c r="B67" s="256" t="s">
        <v>719</v>
      </c>
      <c r="C67" s="257">
        <v>294.905590361446</v>
      </c>
      <c r="D67" s="258">
        <v>43809.06</v>
      </c>
      <c r="E67" s="259">
        <f t="shared" ref="E67:E130" si="5">ROUND(C67*D67,2)</f>
        <v>12919536.699999999</v>
      </c>
      <c r="F67" s="248"/>
      <c r="G67" s="258">
        <f t="shared" ref="G67:G130" si="6">D67-$D$178</f>
        <v>374.54000000000087</v>
      </c>
      <c r="H67" s="260">
        <f t="shared" ref="H67:H130" si="7">MAX(G67/$D$178)</f>
        <v>8.6230951786735732E-3</v>
      </c>
      <c r="I67" s="261"/>
      <c r="J67" s="262">
        <f t="shared" ref="J67:J130" si="8">MAX(G67/$D$178,0)*0.557</f>
        <v>4.8030640145211804E-3</v>
      </c>
      <c r="K67" s="262">
        <f t="shared" ref="K67:K130" si="9">MIN(J67,$M$3)</f>
        <v>4.8030640145211804E-3</v>
      </c>
      <c r="L67">
        <f>K67*Calculations!Y67</f>
        <v>33.846704818570629</v>
      </c>
    </row>
    <row r="68" spans="1:12">
      <c r="A68" s="255">
        <v>274</v>
      </c>
      <c r="B68" s="263" t="s">
        <v>720</v>
      </c>
      <c r="C68" s="257">
        <v>12.83</v>
      </c>
      <c r="D68" s="258">
        <v>41563.65</v>
      </c>
      <c r="E68" s="259">
        <f t="shared" si="5"/>
        <v>533261.63</v>
      </c>
      <c r="F68" s="248"/>
      <c r="G68" s="258">
        <f t="shared" si="6"/>
        <v>-1870.8699999999953</v>
      </c>
      <c r="H68" s="260">
        <f t="shared" si="7"/>
        <v>-4.3073343506501174E-2</v>
      </c>
      <c r="I68" s="261"/>
      <c r="J68" s="262">
        <f t="shared" si="8"/>
        <v>0</v>
      </c>
      <c r="K68" s="262">
        <f t="shared" si="9"/>
        <v>0</v>
      </c>
      <c r="L68">
        <f>K68*Calculations!Y68</f>
        <v>0</v>
      </c>
    </row>
    <row r="69" spans="1:12">
      <c r="A69" s="255">
        <v>281</v>
      </c>
      <c r="B69" s="256" t="s">
        <v>721</v>
      </c>
      <c r="C69" s="257">
        <v>149.24</v>
      </c>
      <c r="D69" s="258">
        <v>44456.07</v>
      </c>
      <c r="E69" s="259">
        <f t="shared" si="5"/>
        <v>6634623.8899999997</v>
      </c>
      <c r="F69" s="248"/>
      <c r="G69" s="258">
        <f t="shared" si="6"/>
        <v>1021.5500000000029</v>
      </c>
      <c r="H69" s="260">
        <f t="shared" si="7"/>
        <v>2.3519311368008739E-2</v>
      </c>
      <c r="I69" s="261"/>
      <c r="J69" s="262">
        <f t="shared" si="8"/>
        <v>1.3100256431980869E-2</v>
      </c>
      <c r="K69" s="262">
        <f t="shared" si="9"/>
        <v>1.3100256431980869E-2</v>
      </c>
      <c r="L69">
        <f>K69*Calculations!Y69</f>
        <v>34.543280170104431</v>
      </c>
    </row>
    <row r="70" spans="1:12">
      <c r="A70" s="255">
        <v>282</v>
      </c>
      <c r="B70" s="264" t="s">
        <v>722</v>
      </c>
      <c r="C70" s="257">
        <v>23.23</v>
      </c>
      <c r="D70" s="258">
        <v>46073.37</v>
      </c>
      <c r="E70" s="259">
        <f t="shared" si="5"/>
        <v>1070284.3899999999</v>
      </c>
      <c r="F70" s="248"/>
      <c r="G70" s="258">
        <f t="shared" si="6"/>
        <v>2638.8500000000058</v>
      </c>
      <c r="H70" s="260">
        <f t="shared" si="7"/>
        <v>6.0754671629846629E-2</v>
      </c>
      <c r="I70" s="261"/>
      <c r="J70" s="262">
        <f t="shared" si="8"/>
        <v>3.3840352097824579E-2</v>
      </c>
      <c r="K70" s="262">
        <f t="shared" si="9"/>
        <v>3.3840352097824579E-2</v>
      </c>
      <c r="L70">
        <f>K70*Calculations!Y70</f>
        <v>16.739512699075025</v>
      </c>
    </row>
    <row r="71" spans="1:12">
      <c r="A71" s="255">
        <v>283</v>
      </c>
      <c r="B71" s="264" t="s">
        <v>723</v>
      </c>
      <c r="C71" s="265">
        <v>17.5</v>
      </c>
      <c r="D71" s="258">
        <v>44706.71</v>
      </c>
      <c r="E71" s="259">
        <f t="shared" si="5"/>
        <v>782367.43</v>
      </c>
      <c r="F71" s="248"/>
      <c r="G71" s="258">
        <f t="shared" si="6"/>
        <v>1272.1900000000023</v>
      </c>
      <c r="H71" s="260">
        <f t="shared" si="7"/>
        <v>2.928983674736137E-2</v>
      </c>
      <c r="I71" s="261"/>
      <c r="J71" s="262">
        <f t="shared" si="8"/>
        <v>1.6314439068280284E-2</v>
      </c>
      <c r="K71" s="262">
        <f t="shared" si="9"/>
        <v>1.6314439068280284E-2</v>
      </c>
      <c r="L71">
        <f>K71*Calculations!Y71</f>
        <v>6.8031241600194114</v>
      </c>
    </row>
    <row r="72" spans="1:12">
      <c r="A72" s="255">
        <v>285</v>
      </c>
      <c r="B72" s="264" t="s">
        <v>724</v>
      </c>
      <c r="C72" s="265">
        <v>31</v>
      </c>
      <c r="D72" s="258">
        <v>43685.39</v>
      </c>
      <c r="E72" s="259">
        <f t="shared" si="5"/>
        <v>1354247.09</v>
      </c>
      <c r="F72" s="248"/>
      <c r="G72" s="258">
        <f t="shared" si="6"/>
        <v>250.87000000000262</v>
      </c>
      <c r="H72" s="260">
        <f t="shared" si="7"/>
        <v>5.7758207066637927E-3</v>
      </c>
      <c r="I72" s="261"/>
      <c r="J72" s="262">
        <f t="shared" si="8"/>
        <v>3.2171321336117329E-3</v>
      </c>
      <c r="K72" s="262">
        <f t="shared" si="9"/>
        <v>3.2171321336117329E-3</v>
      </c>
      <c r="L72">
        <f>K72*Calculations!Y72</f>
        <v>2.2681969069643437</v>
      </c>
    </row>
    <row r="73" spans="1:12">
      <c r="A73" s="255">
        <v>287</v>
      </c>
      <c r="B73" s="264" t="s">
        <v>725</v>
      </c>
      <c r="C73" s="257">
        <v>20.55</v>
      </c>
      <c r="D73" s="258">
        <v>42176.27</v>
      </c>
      <c r="E73" s="259">
        <f t="shared" si="5"/>
        <v>866722.35</v>
      </c>
      <c r="F73" s="248"/>
      <c r="G73" s="258">
        <f t="shared" si="6"/>
        <v>-1258.25</v>
      </c>
      <c r="H73" s="260">
        <f t="shared" si="7"/>
        <v>-2.8968893865984939E-2</v>
      </c>
      <c r="I73" s="261"/>
      <c r="J73" s="262">
        <f t="shared" si="8"/>
        <v>0</v>
      </c>
      <c r="K73" s="262">
        <f t="shared" si="9"/>
        <v>0</v>
      </c>
      <c r="L73">
        <f>K73*Calculations!Y73</f>
        <v>0</v>
      </c>
    </row>
    <row r="74" spans="1:12">
      <c r="A74" s="255">
        <v>288</v>
      </c>
      <c r="B74" s="263" t="s">
        <v>726</v>
      </c>
      <c r="C74" s="257">
        <v>17</v>
      </c>
      <c r="D74" s="258">
        <v>44215.12</v>
      </c>
      <c r="E74" s="259">
        <f t="shared" si="5"/>
        <v>751657.04</v>
      </c>
      <c r="F74" s="248"/>
      <c r="G74" s="258">
        <f t="shared" si="6"/>
        <v>780.60000000000582</v>
      </c>
      <c r="H74" s="260">
        <f t="shared" si="7"/>
        <v>1.7971880430588526E-2</v>
      </c>
      <c r="I74" s="261"/>
      <c r="J74" s="262">
        <f t="shared" si="8"/>
        <v>1.001033739983781E-2</v>
      </c>
      <c r="K74" s="262">
        <f t="shared" si="9"/>
        <v>1.001033739983781E-2</v>
      </c>
      <c r="L74">
        <f>K74*Calculations!Y74</f>
        <v>4.8461401935818715</v>
      </c>
    </row>
    <row r="75" spans="1:12">
      <c r="A75" s="255">
        <v>291</v>
      </c>
      <c r="B75" s="256" t="s">
        <v>727</v>
      </c>
      <c r="C75" s="257">
        <v>44.45</v>
      </c>
      <c r="D75" s="258">
        <v>44346.720000000001</v>
      </c>
      <c r="E75" s="259">
        <f t="shared" si="5"/>
        <v>1971211.7</v>
      </c>
      <c r="F75" s="248"/>
      <c r="G75" s="258">
        <f t="shared" si="6"/>
        <v>912.20000000000437</v>
      </c>
      <c r="H75" s="260">
        <f t="shared" si="7"/>
        <v>2.1001728579019739E-2</v>
      </c>
      <c r="I75" s="261"/>
      <c r="J75" s="262">
        <f t="shared" si="8"/>
        <v>1.1697962818513995E-2</v>
      </c>
      <c r="K75" s="262">
        <f t="shared" si="9"/>
        <v>1.1697962818513995E-2</v>
      </c>
      <c r="L75">
        <f>K75*Calculations!Y75</f>
        <v>12.279075558793553</v>
      </c>
    </row>
    <row r="76" spans="1:12">
      <c r="A76" s="255">
        <v>292</v>
      </c>
      <c r="B76" s="264" t="s">
        <v>728</v>
      </c>
      <c r="C76" s="257">
        <v>12.5</v>
      </c>
      <c r="D76" s="258">
        <v>42767.56</v>
      </c>
      <c r="E76" s="259">
        <f t="shared" si="5"/>
        <v>534594.5</v>
      </c>
      <c r="F76" s="248"/>
      <c r="G76" s="258">
        <f t="shared" si="6"/>
        <v>-666.95999999999913</v>
      </c>
      <c r="H76" s="260">
        <f t="shared" si="7"/>
        <v>-1.5355528275666433E-2</v>
      </c>
      <c r="I76" s="261"/>
      <c r="J76" s="262">
        <f t="shared" si="8"/>
        <v>0</v>
      </c>
      <c r="K76" s="262">
        <f t="shared" si="9"/>
        <v>0</v>
      </c>
      <c r="L76">
        <f>K76*Calculations!Y76</f>
        <v>0</v>
      </c>
    </row>
    <row r="77" spans="1:12">
      <c r="A77" s="255">
        <v>302</v>
      </c>
      <c r="B77" s="263" t="s">
        <v>729</v>
      </c>
      <c r="C77" s="257">
        <v>16.04</v>
      </c>
      <c r="D77" s="258">
        <v>45633.02</v>
      </c>
      <c r="E77" s="259">
        <f t="shared" si="5"/>
        <v>731953.64</v>
      </c>
      <c r="F77" s="248"/>
      <c r="G77" s="258">
        <f t="shared" si="6"/>
        <v>2198.5</v>
      </c>
      <c r="H77" s="260">
        <f t="shared" si="7"/>
        <v>5.0616422145335099E-2</v>
      </c>
      <c r="I77" s="261"/>
      <c r="J77" s="262">
        <f t="shared" si="8"/>
        <v>2.8193347134951655E-2</v>
      </c>
      <c r="K77" s="262">
        <f t="shared" si="9"/>
        <v>2.8193347134951655E-2</v>
      </c>
      <c r="L77">
        <f>K77*Calculations!Y77</f>
        <v>9.3880092885764928</v>
      </c>
    </row>
    <row r="78" spans="1:12">
      <c r="A78" s="255">
        <v>304</v>
      </c>
      <c r="B78" s="263" t="s">
        <v>730</v>
      </c>
      <c r="C78" s="257">
        <v>26</v>
      </c>
      <c r="D78" s="258">
        <v>42831</v>
      </c>
      <c r="E78" s="259">
        <f t="shared" si="5"/>
        <v>1113606</v>
      </c>
      <c r="F78" s="248"/>
      <c r="G78" s="258">
        <f t="shared" si="6"/>
        <v>-603.5199999999968</v>
      </c>
      <c r="H78" s="260">
        <f t="shared" si="7"/>
        <v>-1.3894938864294963E-2</v>
      </c>
      <c r="I78" s="261"/>
      <c r="J78" s="262">
        <f t="shared" si="8"/>
        <v>0</v>
      </c>
      <c r="K78" s="262">
        <f t="shared" si="9"/>
        <v>0</v>
      </c>
      <c r="L78">
        <f>K78*Calculations!Y78</f>
        <v>0</v>
      </c>
    </row>
    <row r="79" spans="1:12">
      <c r="A79" s="255">
        <v>305</v>
      </c>
      <c r="B79" s="264" t="s">
        <v>731</v>
      </c>
      <c r="C79" s="257">
        <v>15.25</v>
      </c>
      <c r="D79" s="258">
        <v>43514.84</v>
      </c>
      <c r="E79" s="259">
        <f t="shared" si="5"/>
        <v>663601.31000000006</v>
      </c>
      <c r="F79" s="248"/>
      <c r="G79" s="258">
        <f t="shared" si="6"/>
        <v>80.319999999999709</v>
      </c>
      <c r="H79" s="260">
        <f t="shared" si="7"/>
        <v>1.8492203896808279E-3</v>
      </c>
      <c r="I79" s="261"/>
      <c r="J79" s="262">
        <f t="shared" si="8"/>
        <v>1.0300157570522213E-3</v>
      </c>
      <c r="K79" s="262">
        <f t="shared" si="9"/>
        <v>1.0300157570522213E-3</v>
      </c>
      <c r="L79">
        <f>K79*Calculations!Y79</f>
        <v>0.37038149978026536</v>
      </c>
    </row>
    <row r="80" spans="1:12">
      <c r="A80" s="255">
        <v>312</v>
      </c>
      <c r="B80" s="264" t="s">
        <v>732</v>
      </c>
      <c r="C80" s="257">
        <v>34.57</v>
      </c>
      <c r="D80" s="258">
        <v>41989.85</v>
      </c>
      <c r="E80" s="259">
        <f t="shared" si="5"/>
        <v>1451589.11</v>
      </c>
      <c r="F80" s="248"/>
      <c r="G80" s="258">
        <f t="shared" si="6"/>
        <v>-1444.6699999999983</v>
      </c>
      <c r="H80" s="260">
        <f t="shared" si="7"/>
        <v>-3.3260871767432872E-2</v>
      </c>
      <c r="I80" s="261"/>
      <c r="J80" s="262">
        <f t="shared" si="8"/>
        <v>0</v>
      </c>
      <c r="K80" s="262">
        <f t="shared" si="9"/>
        <v>0</v>
      </c>
      <c r="L80">
        <f>K80*Calculations!Y80</f>
        <v>0</v>
      </c>
    </row>
    <row r="81" spans="1:12">
      <c r="A81" s="255">
        <v>314</v>
      </c>
      <c r="B81" s="264" t="s">
        <v>733</v>
      </c>
      <c r="C81" s="265">
        <v>16.29</v>
      </c>
      <c r="D81" s="258">
        <v>45566.03</v>
      </c>
      <c r="E81" s="259">
        <f t="shared" si="5"/>
        <v>742270.63</v>
      </c>
      <c r="F81" s="248"/>
      <c r="G81" s="258">
        <f t="shared" si="6"/>
        <v>2131.510000000002</v>
      </c>
      <c r="H81" s="260">
        <f t="shared" si="7"/>
        <v>4.9074100508075195E-2</v>
      </c>
      <c r="I81" s="261"/>
      <c r="J81" s="262">
        <f t="shared" si="8"/>
        <v>2.7334273982997887E-2</v>
      </c>
      <c r="K81" s="262">
        <f t="shared" si="9"/>
        <v>2.7334273982997887E-2</v>
      </c>
      <c r="L81">
        <f>K81*Calculations!Y81</f>
        <v>11.224361312170126</v>
      </c>
    </row>
    <row r="82" spans="1:12">
      <c r="A82" s="255">
        <v>316</v>
      </c>
      <c r="B82" s="264" t="s">
        <v>734</v>
      </c>
      <c r="C82" s="257">
        <v>15.14</v>
      </c>
      <c r="D82" s="258">
        <v>42714.9</v>
      </c>
      <c r="E82" s="259">
        <f t="shared" si="5"/>
        <v>646703.59</v>
      </c>
      <c r="F82" s="248"/>
      <c r="G82" s="258">
        <f t="shared" si="6"/>
        <v>-719.61999999999534</v>
      </c>
      <c r="H82" s="260">
        <f t="shared" si="7"/>
        <v>-1.6567927998283286E-2</v>
      </c>
      <c r="I82" s="261"/>
      <c r="J82" s="262">
        <f t="shared" si="8"/>
        <v>0</v>
      </c>
      <c r="K82" s="262">
        <f t="shared" si="9"/>
        <v>0</v>
      </c>
      <c r="L82">
        <f>K82*Calculations!Y82</f>
        <v>0</v>
      </c>
    </row>
    <row r="83" spans="1:12">
      <c r="A83" s="255">
        <v>321</v>
      </c>
      <c r="B83" s="256" t="s">
        <v>735</v>
      </c>
      <c r="C83" s="257">
        <v>252.7</v>
      </c>
      <c r="D83" s="258">
        <v>41944.69</v>
      </c>
      <c r="E83" s="259">
        <f t="shared" si="5"/>
        <v>10599423.16</v>
      </c>
      <c r="F83" s="248"/>
      <c r="G83" s="258">
        <f t="shared" si="6"/>
        <v>-1489.8299999999945</v>
      </c>
      <c r="H83" s="260">
        <f t="shared" si="7"/>
        <v>-3.430059777338381E-2</v>
      </c>
      <c r="I83" s="261"/>
      <c r="J83" s="262">
        <f t="shared" si="8"/>
        <v>0</v>
      </c>
      <c r="K83" s="262">
        <f t="shared" si="9"/>
        <v>0</v>
      </c>
      <c r="L83">
        <f>K83*Calculations!Y83</f>
        <v>0</v>
      </c>
    </row>
    <row r="84" spans="1:12">
      <c r="A84" s="255">
        <v>322</v>
      </c>
      <c r="B84" s="264" t="s">
        <v>736</v>
      </c>
      <c r="C84" s="257">
        <v>84.4</v>
      </c>
      <c r="D84" s="258">
        <v>42812.9</v>
      </c>
      <c r="E84" s="259">
        <f t="shared" si="5"/>
        <v>3613408.76</v>
      </c>
      <c r="F84" s="248"/>
      <c r="G84" s="258">
        <f t="shared" si="6"/>
        <v>-621.61999999999534</v>
      </c>
      <c r="H84" s="260">
        <f t="shared" si="7"/>
        <v>-1.4311658100515337E-2</v>
      </c>
      <c r="I84" s="261"/>
      <c r="J84" s="262">
        <f t="shared" si="8"/>
        <v>0</v>
      </c>
      <c r="K84" s="262">
        <f t="shared" si="9"/>
        <v>0</v>
      </c>
      <c r="L84">
        <f>K84*Calculations!Y84</f>
        <v>0</v>
      </c>
    </row>
    <row r="85" spans="1:12">
      <c r="A85" s="255">
        <v>331</v>
      </c>
      <c r="B85" s="256" t="s">
        <v>737</v>
      </c>
      <c r="C85" s="257">
        <v>220.47</v>
      </c>
      <c r="D85" s="258">
        <v>42880.26</v>
      </c>
      <c r="E85" s="259">
        <f t="shared" si="5"/>
        <v>9453810.9199999999</v>
      </c>
      <c r="F85" s="248"/>
      <c r="G85" s="258">
        <f t="shared" si="6"/>
        <v>-554.25999999999476</v>
      </c>
      <c r="H85" s="260">
        <f t="shared" si="7"/>
        <v>-1.2760817893233189E-2</v>
      </c>
      <c r="I85" s="261"/>
      <c r="J85" s="262">
        <f t="shared" si="8"/>
        <v>0</v>
      </c>
      <c r="K85" s="262">
        <f t="shared" si="9"/>
        <v>0</v>
      </c>
      <c r="L85">
        <f>K85*Calculations!Y85</f>
        <v>0</v>
      </c>
    </row>
    <row r="86" spans="1:12">
      <c r="A86" s="255">
        <v>340</v>
      </c>
      <c r="B86" s="256" t="s">
        <v>738</v>
      </c>
      <c r="C86" s="257">
        <v>265.18</v>
      </c>
      <c r="D86" s="258">
        <v>44767.64</v>
      </c>
      <c r="E86" s="259">
        <f t="shared" si="5"/>
        <v>11871482.779999999</v>
      </c>
      <c r="F86" s="248"/>
      <c r="G86" s="258">
        <f t="shared" si="6"/>
        <v>1333.1200000000026</v>
      </c>
      <c r="H86" s="260">
        <f t="shared" si="7"/>
        <v>3.0692638021555269E-2</v>
      </c>
      <c r="I86" s="261"/>
      <c r="J86" s="262">
        <f t="shared" si="8"/>
        <v>1.7095799378006288E-2</v>
      </c>
      <c r="K86" s="262">
        <f t="shared" si="9"/>
        <v>1.7095799378006288E-2</v>
      </c>
      <c r="L86">
        <f>K86*Calculations!Y86</f>
        <v>91.117601824082996</v>
      </c>
    </row>
    <row r="87" spans="1:12">
      <c r="A87" s="255">
        <v>341</v>
      </c>
      <c r="B87" s="264" t="s">
        <v>739</v>
      </c>
      <c r="C87" s="257">
        <v>33</v>
      </c>
      <c r="D87" s="258">
        <v>45036.79</v>
      </c>
      <c r="E87" s="259">
        <f t="shared" si="5"/>
        <v>1486214.07</v>
      </c>
      <c r="F87" s="248"/>
      <c r="G87" s="258">
        <f t="shared" si="6"/>
        <v>1602.2700000000041</v>
      </c>
      <c r="H87" s="260">
        <f t="shared" si="7"/>
        <v>3.6889322133639421E-2</v>
      </c>
      <c r="I87" s="261"/>
      <c r="J87" s="262">
        <f t="shared" si="8"/>
        <v>2.0547352428437159E-2</v>
      </c>
      <c r="K87" s="262">
        <f t="shared" si="9"/>
        <v>2.0547352428437159E-2</v>
      </c>
      <c r="L87">
        <f>K87*Calculations!Y87</f>
        <v>16.834800278396486</v>
      </c>
    </row>
    <row r="88" spans="1:12">
      <c r="A88" s="255">
        <v>342</v>
      </c>
      <c r="B88" s="263" t="s">
        <v>740</v>
      </c>
      <c r="C88" s="257">
        <v>12.698085106382999</v>
      </c>
      <c r="D88" s="258">
        <v>39394.019999999997</v>
      </c>
      <c r="E88" s="259">
        <f t="shared" si="5"/>
        <v>500228.62</v>
      </c>
      <c r="F88" s="248"/>
      <c r="G88" s="258">
        <f t="shared" si="6"/>
        <v>-4040.5</v>
      </c>
      <c r="H88" s="260">
        <f t="shared" si="7"/>
        <v>-9.3025086958483716E-2</v>
      </c>
      <c r="I88" s="261"/>
      <c r="J88" s="262">
        <f t="shared" si="8"/>
        <v>0</v>
      </c>
      <c r="K88" s="262">
        <f t="shared" si="9"/>
        <v>0</v>
      </c>
      <c r="L88">
        <f>K88*Calculations!Y88</f>
        <v>0</v>
      </c>
    </row>
    <row r="89" spans="1:12">
      <c r="A89" s="255">
        <v>351</v>
      </c>
      <c r="B89" s="264" t="s">
        <v>741</v>
      </c>
      <c r="C89" s="257">
        <v>69.95</v>
      </c>
      <c r="D89" s="258">
        <v>41685.589999999997</v>
      </c>
      <c r="E89" s="259">
        <f t="shared" si="5"/>
        <v>2915907.02</v>
      </c>
      <c r="F89" s="248"/>
      <c r="G89" s="258">
        <f t="shared" si="6"/>
        <v>-1748.9300000000003</v>
      </c>
      <c r="H89" s="260">
        <f t="shared" si="7"/>
        <v>-4.0265899105135741E-2</v>
      </c>
      <c r="I89" s="261"/>
      <c r="J89" s="262">
        <f t="shared" si="8"/>
        <v>0</v>
      </c>
      <c r="K89" s="262">
        <f t="shared" si="9"/>
        <v>0</v>
      </c>
      <c r="L89">
        <f>K89*Calculations!Y89</f>
        <v>0</v>
      </c>
    </row>
    <row r="90" spans="1:12">
      <c r="A90" s="255">
        <v>363</v>
      </c>
      <c r="B90" s="263" t="s">
        <v>742</v>
      </c>
      <c r="C90" s="257">
        <v>47.68</v>
      </c>
      <c r="D90" s="258">
        <v>42201.03</v>
      </c>
      <c r="E90" s="259">
        <f t="shared" si="5"/>
        <v>2012145.11</v>
      </c>
      <c r="F90" s="248"/>
      <c r="G90" s="258">
        <f t="shared" si="6"/>
        <v>-1233.489999999998</v>
      </c>
      <c r="H90" s="260">
        <f t="shared" si="7"/>
        <v>-2.8398840369365151E-2</v>
      </c>
      <c r="I90" s="261"/>
      <c r="J90" s="262">
        <f t="shared" si="8"/>
        <v>0</v>
      </c>
      <c r="K90" s="262">
        <f t="shared" si="9"/>
        <v>0</v>
      </c>
      <c r="L90">
        <f>K90*Calculations!Y90</f>
        <v>0</v>
      </c>
    </row>
    <row r="91" spans="1:12">
      <c r="A91" s="255">
        <v>364</v>
      </c>
      <c r="B91" s="266" t="s">
        <v>743</v>
      </c>
      <c r="C91" s="257">
        <v>2</v>
      </c>
      <c r="D91" s="258">
        <v>37705</v>
      </c>
      <c r="E91" s="259">
        <f t="shared" si="5"/>
        <v>75410</v>
      </c>
      <c r="F91" s="248"/>
      <c r="G91" s="258">
        <f t="shared" si="6"/>
        <v>-5729.5199999999968</v>
      </c>
      <c r="H91" s="260">
        <f t="shared" si="7"/>
        <v>-0.13191166841489205</v>
      </c>
      <c r="I91" s="261"/>
      <c r="J91" s="262">
        <f t="shared" si="8"/>
        <v>0</v>
      </c>
      <c r="K91" s="262">
        <f t="shared" si="9"/>
        <v>0</v>
      </c>
      <c r="L91">
        <f>K91*Calculations!Y91</f>
        <v>0</v>
      </c>
    </row>
    <row r="92" spans="1:12">
      <c r="A92" s="255">
        <v>365</v>
      </c>
      <c r="B92" s="264" t="s">
        <v>744</v>
      </c>
      <c r="C92" s="257">
        <v>24</v>
      </c>
      <c r="D92" s="258">
        <v>39129.25</v>
      </c>
      <c r="E92" s="259">
        <f t="shared" si="5"/>
        <v>939102</v>
      </c>
      <c r="F92" s="248"/>
      <c r="G92" s="258">
        <f t="shared" si="6"/>
        <v>-4305.2699999999968</v>
      </c>
      <c r="H92" s="260">
        <f t="shared" si="7"/>
        <v>-9.9120929620034867E-2</v>
      </c>
      <c r="I92" s="261"/>
      <c r="J92" s="262">
        <f t="shared" si="8"/>
        <v>0</v>
      </c>
      <c r="K92" s="262">
        <f t="shared" si="9"/>
        <v>0</v>
      </c>
      <c r="L92">
        <f>K92*Calculations!Y92</f>
        <v>0</v>
      </c>
    </row>
    <row r="93" spans="1:12">
      <c r="A93" s="255">
        <v>370</v>
      </c>
      <c r="B93" s="256" t="s">
        <v>745</v>
      </c>
      <c r="C93" s="257">
        <v>63.93</v>
      </c>
      <c r="D93" s="258">
        <v>43235.5</v>
      </c>
      <c r="E93" s="259">
        <f t="shared" si="5"/>
        <v>2764045.52</v>
      </c>
      <c r="F93" s="248"/>
      <c r="G93" s="258">
        <f t="shared" si="6"/>
        <v>-199.0199999999968</v>
      </c>
      <c r="H93" s="260">
        <f t="shared" si="7"/>
        <v>-4.5820697454466361E-3</v>
      </c>
      <c r="I93" s="261"/>
      <c r="J93" s="262">
        <f t="shared" si="8"/>
        <v>0</v>
      </c>
      <c r="K93" s="262">
        <f t="shared" si="9"/>
        <v>0</v>
      </c>
      <c r="L93">
        <f>K93*Calculations!Y93</f>
        <v>0</v>
      </c>
    </row>
    <row r="94" spans="1:12">
      <c r="A94" s="255">
        <v>371</v>
      </c>
      <c r="B94" s="256" t="s">
        <v>746</v>
      </c>
      <c r="C94" s="257">
        <v>82.76</v>
      </c>
      <c r="D94" s="258">
        <v>42299.13</v>
      </c>
      <c r="E94" s="259">
        <f t="shared" si="5"/>
        <v>3500676</v>
      </c>
      <c r="F94" s="248"/>
      <c r="G94" s="258">
        <f t="shared" si="6"/>
        <v>-1135.3899999999994</v>
      </c>
      <c r="H94" s="260">
        <f t="shared" si="7"/>
        <v>-2.6140268155375023E-2</v>
      </c>
      <c r="I94" s="261"/>
      <c r="J94" s="262">
        <f t="shared" si="8"/>
        <v>0</v>
      </c>
      <c r="K94" s="262">
        <f t="shared" si="9"/>
        <v>0</v>
      </c>
      <c r="L94">
        <f>K94*Calculations!Y94</f>
        <v>0</v>
      </c>
    </row>
    <row r="95" spans="1:12">
      <c r="A95" s="255">
        <v>372</v>
      </c>
      <c r="B95" s="266" t="s">
        <v>747</v>
      </c>
      <c r="C95" s="257">
        <v>51.215000000000003</v>
      </c>
      <c r="D95" s="258">
        <v>44643.94</v>
      </c>
      <c r="E95" s="259">
        <f t="shared" si="5"/>
        <v>2286439.39</v>
      </c>
      <c r="F95" s="248"/>
      <c r="G95" s="258">
        <f t="shared" si="6"/>
        <v>1209.4200000000055</v>
      </c>
      <c r="H95" s="260">
        <f t="shared" si="7"/>
        <v>2.7844672854678849E-2</v>
      </c>
      <c r="I95" s="261"/>
      <c r="J95" s="262">
        <f t="shared" si="8"/>
        <v>1.550948278005612E-2</v>
      </c>
      <c r="K95" s="262">
        <f t="shared" si="9"/>
        <v>1.550948278005612E-2</v>
      </c>
      <c r="L95">
        <f>K95*Calculations!Y95</f>
        <v>20.464266492239961</v>
      </c>
    </row>
    <row r="96" spans="1:12">
      <c r="A96" s="255">
        <v>373</v>
      </c>
      <c r="B96" s="266" t="s">
        <v>748</v>
      </c>
      <c r="C96" s="257">
        <v>90.37</v>
      </c>
      <c r="D96" s="258">
        <v>43844.82</v>
      </c>
      <c r="E96" s="259">
        <f t="shared" si="5"/>
        <v>3962256.38</v>
      </c>
      <c r="F96" s="248"/>
      <c r="G96" s="258">
        <f t="shared" si="6"/>
        <v>410.30000000000291</v>
      </c>
      <c r="H96" s="260">
        <f t="shared" si="7"/>
        <v>9.4464034597367009E-3</v>
      </c>
      <c r="I96" s="261"/>
      <c r="J96" s="262">
        <f t="shared" si="8"/>
        <v>5.2616467270733425E-3</v>
      </c>
      <c r="K96" s="262">
        <f t="shared" si="9"/>
        <v>5.2616467270733425E-3</v>
      </c>
      <c r="L96">
        <f>K96*Calculations!Y96</f>
        <v>11.644771451566598</v>
      </c>
    </row>
    <row r="97" spans="1:12">
      <c r="A97" s="255">
        <v>381</v>
      </c>
      <c r="B97" s="264" t="s">
        <v>749</v>
      </c>
      <c r="C97" s="257">
        <v>84.65</v>
      </c>
      <c r="D97" s="258">
        <v>43528.82</v>
      </c>
      <c r="E97" s="259">
        <f t="shared" si="5"/>
        <v>3684714.61</v>
      </c>
      <c r="F97" s="248"/>
      <c r="G97" s="258">
        <f t="shared" si="6"/>
        <v>94.30000000000291</v>
      </c>
      <c r="H97" s="260">
        <f t="shared" si="7"/>
        <v>2.1710841975461663E-3</v>
      </c>
      <c r="I97" s="261"/>
      <c r="J97" s="262">
        <f t="shared" si="8"/>
        <v>1.2092938980332148E-3</v>
      </c>
      <c r="K97" s="262">
        <f t="shared" si="9"/>
        <v>1.2092938980332148E-3</v>
      </c>
      <c r="L97">
        <f>K97*Calculations!Y97</f>
        <v>2.1581225494960155</v>
      </c>
    </row>
    <row r="98" spans="1:12">
      <c r="A98" s="255">
        <v>382</v>
      </c>
      <c r="B98" s="264" t="s">
        <v>750</v>
      </c>
      <c r="C98" s="257">
        <v>17.21</v>
      </c>
      <c r="D98" s="258">
        <v>42574.85</v>
      </c>
      <c r="E98" s="259">
        <f t="shared" si="5"/>
        <v>732713.17</v>
      </c>
      <c r="F98" s="248"/>
      <c r="G98" s="258">
        <f t="shared" si="6"/>
        <v>-859.66999999999825</v>
      </c>
      <c r="H98" s="260">
        <f t="shared" si="7"/>
        <v>-1.9792321867491532E-2</v>
      </c>
      <c r="I98" s="261"/>
      <c r="J98" s="262">
        <f t="shared" si="8"/>
        <v>0</v>
      </c>
      <c r="K98" s="262">
        <f t="shared" si="9"/>
        <v>0</v>
      </c>
      <c r="L98">
        <f>K98*Calculations!Y98</f>
        <v>0</v>
      </c>
    </row>
    <row r="99" spans="1:12">
      <c r="A99" s="255">
        <v>383</v>
      </c>
      <c r="B99" s="264" t="s">
        <v>751</v>
      </c>
      <c r="C99" s="257">
        <v>1.75</v>
      </c>
      <c r="D99" s="258">
        <v>50002</v>
      </c>
      <c r="E99" s="259">
        <f t="shared" si="5"/>
        <v>87503.5</v>
      </c>
      <c r="F99" s="248"/>
      <c r="G99" s="258">
        <f t="shared" si="6"/>
        <v>6567.4800000000032</v>
      </c>
      <c r="H99" s="260">
        <f t="shared" si="7"/>
        <v>0.1512041574305415</v>
      </c>
      <c r="I99" s="261"/>
      <c r="J99" s="262">
        <f t="shared" si="8"/>
        <v>8.422071568881162E-2</v>
      </c>
      <c r="K99" s="262">
        <f t="shared" si="9"/>
        <v>0.05</v>
      </c>
      <c r="L99">
        <f>K99*Calculations!Y99</f>
        <v>2.4584369514096305</v>
      </c>
    </row>
    <row r="100" spans="1:12">
      <c r="A100" s="255">
        <v>391</v>
      </c>
      <c r="B100" s="264" t="s">
        <v>752</v>
      </c>
      <c r="C100" s="257">
        <v>61.94</v>
      </c>
      <c r="D100" s="258">
        <v>42665.82</v>
      </c>
      <c r="E100" s="259">
        <f t="shared" si="5"/>
        <v>2642720.89</v>
      </c>
      <c r="F100" s="248"/>
      <c r="G100" s="258">
        <f t="shared" si="6"/>
        <v>-768.69999999999709</v>
      </c>
      <c r="H100" s="260">
        <f t="shared" si="7"/>
        <v>-1.7697904800145072E-2</v>
      </c>
      <c r="I100" s="261"/>
      <c r="J100" s="262">
        <f t="shared" si="8"/>
        <v>0</v>
      </c>
      <c r="K100" s="262">
        <f t="shared" si="9"/>
        <v>0</v>
      </c>
      <c r="L100">
        <f>K100*Calculations!Y100</f>
        <v>0</v>
      </c>
    </row>
    <row r="101" spans="1:12">
      <c r="A101" s="255">
        <v>392</v>
      </c>
      <c r="B101" s="264" t="s">
        <v>753</v>
      </c>
      <c r="C101" s="257">
        <v>12.92</v>
      </c>
      <c r="D101" s="258">
        <v>44498.52</v>
      </c>
      <c r="E101" s="259">
        <f t="shared" si="5"/>
        <v>574920.88</v>
      </c>
      <c r="F101" s="248"/>
      <c r="G101" s="258">
        <f t="shared" si="6"/>
        <v>1064</v>
      </c>
      <c r="H101" s="260">
        <f t="shared" si="7"/>
        <v>2.4496644604337751E-2</v>
      </c>
      <c r="I101" s="261"/>
      <c r="J101" s="262">
        <f t="shared" si="8"/>
        <v>1.3644631044616129E-2</v>
      </c>
      <c r="K101" s="262">
        <f t="shared" si="9"/>
        <v>1.3644631044616129E-2</v>
      </c>
      <c r="L101">
        <f>K101*Calculations!Y101</f>
        <v>3.997351043113083</v>
      </c>
    </row>
    <row r="102" spans="1:12">
      <c r="A102" s="255">
        <v>393</v>
      </c>
      <c r="B102" s="256" t="s">
        <v>754</v>
      </c>
      <c r="C102" s="257">
        <v>38.159999999999997</v>
      </c>
      <c r="D102" s="258">
        <v>42377.58</v>
      </c>
      <c r="E102" s="259">
        <f t="shared" si="5"/>
        <v>1617128.45</v>
      </c>
      <c r="F102" s="248"/>
      <c r="G102" s="258">
        <f t="shared" si="6"/>
        <v>-1056.9399999999951</v>
      </c>
      <c r="H102" s="260">
        <f t="shared" si="7"/>
        <v>-2.4334101079049455E-2</v>
      </c>
      <c r="I102" s="261"/>
      <c r="J102" s="262">
        <f t="shared" si="8"/>
        <v>0</v>
      </c>
      <c r="K102" s="262">
        <f t="shared" si="9"/>
        <v>0</v>
      </c>
      <c r="L102">
        <f>K102*Calculations!Y102</f>
        <v>0</v>
      </c>
    </row>
    <row r="103" spans="1:12">
      <c r="A103" s="255">
        <v>394</v>
      </c>
      <c r="B103" s="264" t="s">
        <v>755</v>
      </c>
      <c r="C103" s="257">
        <v>1</v>
      </c>
      <c r="D103" s="258">
        <v>50902</v>
      </c>
      <c r="E103" s="259">
        <f t="shared" si="5"/>
        <v>50902</v>
      </c>
      <c r="F103" s="248"/>
      <c r="G103" s="258">
        <f t="shared" si="6"/>
        <v>7467.4800000000032</v>
      </c>
      <c r="H103" s="260">
        <f t="shared" si="7"/>
        <v>0.17192500343045125</v>
      </c>
      <c r="I103" s="261"/>
      <c r="J103" s="262">
        <f t="shared" si="8"/>
        <v>9.5762226910761361E-2</v>
      </c>
      <c r="K103" s="262">
        <f t="shared" si="9"/>
        <v>0.05</v>
      </c>
      <c r="L103">
        <f>K103*Calculations!Y103</f>
        <v>2.5353032960702411</v>
      </c>
    </row>
    <row r="104" spans="1:12">
      <c r="A104" s="255">
        <v>401</v>
      </c>
      <c r="B104" s="264" t="s">
        <v>756</v>
      </c>
      <c r="C104" s="257">
        <v>100.13</v>
      </c>
      <c r="D104" s="258">
        <v>43855.78</v>
      </c>
      <c r="E104" s="259">
        <f t="shared" si="5"/>
        <v>4391279.25</v>
      </c>
      <c r="F104" s="248"/>
      <c r="G104" s="258">
        <f t="shared" si="6"/>
        <v>421.26000000000204</v>
      </c>
      <c r="H104" s="260">
        <f t="shared" si="7"/>
        <v>9.698737317691138E-3</v>
      </c>
      <c r="I104" s="261"/>
      <c r="J104" s="262">
        <f t="shared" si="8"/>
        <v>5.4021966859539644E-3</v>
      </c>
      <c r="K104" s="262">
        <f t="shared" si="9"/>
        <v>5.4021966859539644E-3</v>
      </c>
      <c r="L104">
        <f>K104*Calculations!Y104</f>
        <v>11.470615738832958</v>
      </c>
    </row>
    <row r="105" spans="1:12">
      <c r="A105" s="255">
        <v>411</v>
      </c>
      <c r="B105" s="256" t="s">
        <v>757</v>
      </c>
      <c r="C105" s="257">
        <v>471.16</v>
      </c>
      <c r="D105" s="258">
        <v>42923.360000000001</v>
      </c>
      <c r="E105" s="259">
        <f t="shared" si="5"/>
        <v>20223770.300000001</v>
      </c>
      <c r="F105" s="248"/>
      <c r="G105" s="258">
        <f t="shared" si="6"/>
        <v>-511.15999999999622</v>
      </c>
      <c r="H105" s="260">
        <f t="shared" si="7"/>
        <v>-1.1768519601459767E-2</v>
      </c>
      <c r="I105" s="261"/>
      <c r="J105" s="262">
        <f t="shared" si="8"/>
        <v>0</v>
      </c>
      <c r="K105" s="262">
        <f t="shared" si="9"/>
        <v>0</v>
      </c>
      <c r="L105">
        <f>K105*Calculations!Y105</f>
        <v>0</v>
      </c>
    </row>
    <row r="106" spans="1:12">
      <c r="A106" s="255">
        <v>412</v>
      </c>
      <c r="B106" s="263" t="s">
        <v>758</v>
      </c>
      <c r="C106" s="257">
        <v>65.72</v>
      </c>
      <c r="D106" s="258">
        <v>41250.230000000003</v>
      </c>
      <c r="E106" s="259">
        <f t="shared" si="5"/>
        <v>2710965.12</v>
      </c>
      <c r="F106" s="248"/>
      <c r="G106" s="258">
        <f t="shared" si="6"/>
        <v>-2184.2899999999936</v>
      </c>
      <c r="H106" s="260">
        <f t="shared" si="7"/>
        <v>-5.0289263010158597E-2</v>
      </c>
      <c r="I106" s="261"/>
      <c r="J106" s="262">
        <f t="shared" si="8"/>
        <v>0</v>
      </c>
      <c r="K106" s="262">
        <f t="shared" si="9"/>
        <v>0</v>
      </c>
      <c r="L106">
        <f>K106*Calculations!Y106</f>
        <v>0</v>
      </c>
    </row>
    <row r="107" spans="1:12">
      <c r="A107" s="255">
        <v>413</v>
      </c>
      <c r="B107" s="264" t="s">
        <v>759</v>
      </c>
      <c r="C107" s="257">
        <v>89.67</v>
      </c>
      <c r="D107" s="258">
        <v>41744.71</v>
      </c>
      <c r="E107" s="259">
        <f t="shared" si="5"/>
        <v>3743248.15</v>
      </c>
      <c r="F107" s="248"/>
      <c r="G107" s="258">
        <f t="shared" si="6"/>
        <v>-1689.8099999999977</v>
      </c>
      <c r="H107" s="260">
        <f t="shared" si="7"/>
        <v>-3.8904769754563834E-2</v>
      </c>
      <c r="I107" s="261"/>
      <c r="J107" s="262">
        <f t="shared" si="8"/>
        <v>0</v>
      </c>
      <c r="K107" s="262">
        <f t="shared" si="9"/>
        <v>0</v>
      </c>
      <c r="L107">
        <f>K107*Calculations!Y107</f>
        <v>0</v>
      </c>
    </row>
    <row r="108" spans="1:12">
      <c r="A108" s="255">
        <v>414</v>
      </c>
      <c r="B108" s="264" t="s">
        <v>760</v>
      </c>
      <c r="C108" s="257">
        <v>100.69</v>
      </c>
      <c r="D108" s="258">
        <v>43534.86</v>
      </c>
      <c r="E108" s="259">
        <f t="shared" si="5"/>
        <v>4383525.05</v>
      </c>
      <c r="F108" s="248"/>
      <c r="G108" s="258">
        <f t="shared" si="6"/>
        <v>100.34000000000378</v>
      </c>
      <c r="H108" s="260">
        <f t="shared" si="7"/>
        <v>2.3101440973678031E-3</v>
      </c>
      <c r="I108" s="261"/>
      <c r="J108" s="262">
        <f t="shared" si="8"/>
        <v>1.2867502622338665E-3</v>
      </c>
      <c r="K108" s="262">
        <f t="shared" si="9"/>
        <v>1.2867502622338665E-3</v>
      </c>
      <c r="L108">
        <f>K108*Calculations!Y108</f>
        <v>3.0595060097720679</v>
      </c>
    </row>
    <row r="109" spans="1:12">
      <c r="A109" s="255">
        <v>415</v>
      </c>
      <c r="B109" s="264" t="s">
        <v>761</v>
      </c>
      <c r="C109" s="257">
        <v>20.93</v>
      </c>
      <c r="D109" s="258">
        <v>43833.120000000003</v>
      </c>
      <c r="E109" s="259">
        <f t="shared" si="5"/>
        <v>917427.19999999995</v>
      </c>
      <c r="F109" s="248"/>
      <c r="G109" s="258">
        <f t="shared" si="6"/>
        <v>398.60000000000582</v>
      </c>
      <c r="H109" s="260">
        <f t="shared" si="7"/>
        <v>9.1770324617379412E-3</v>
      </c>
      <c r="I109" s="261"/>
      <c r="J109" s="262">
        <f t="shared" si="8"/>
        <v>5.1116070811880335E-3</v>
      </c>
      <c r="K109" s="262">
        <f t="shared" si="9"/>
        <v>5.1116070811880335E-3</v>
      </c>
      <c r="L109">
        <f>K109*Calculations!Y109</f>
        <v>2.7009769733907323</v>
      </c>
    </row>
    <row r="110" spans="1:12">
      <c r="A110" s="255">
        <v>416</v>
      </c>
      <c r="B110" s="264" t="s">
        <v>762</v>
      </c>
      <c r="C110" s="257">
        <v>0.8</v>
      </c>
      <c r="D110" s="258">
        <v>42825</v>
      </c>
      <c r="E110" s="259">
        <f t="shared" si="5"/>
        <v>34260</v>
      </c>
      <c r="F110" s="248"/>
      <c r="G110" s="258">
        <f t="shared" si="6"/>
        <v>-609.5199999999968</v>
      </c>
      <c r="H110" s="260">
        <f t="shared" si="7"/>
        <v>-1.4033077837627694E-2</v>
      </c>
      <c r="I110" s="261"/>
      <c r="J110" s="262">
        <f t="shared" si="8"/>
        <v>0</v>
      </c>
      <c r="K110" s="262">
        <f t="shared" si="9"/>
        <v>0</v>
      </c>
      <c r="L110">
        <f>K110*Calculations!Y110</f>
        <v>0</v>
      </c>
    </row>
    <row r="111" spans="1:12">
      <c r="A111" s="255">
        <v>417</v>
      </c>
      <c r="B111" s="263" t="s">
        <v>763</v>
      </c>
      <c r="C111" s="265">
        <v>20.399999999999999</v>
      </c>
      <c r="D111" s="258">
        <v>45066.23</v>
      </c>
      <c r="E111" s="259">
        <f t="shared" si="5"/>
        <v>919351.09</v>
      </c>
      <c r="F111" s="248"/>
      <c r="G111" s="258">
        <f t="shared" si="6"/>
        <v>1631.7100000000064</v>
      </c>
      <c r="H111" s="260">
        <f t="shared" si="7"/>
        <v>3.7567124029458748E-2</v>
      </c>
      <c r="I111" s="261"/>
      <c r="J111" s="262">
        <f t="shared" si="8"/>
        <v>2.0924888084408524E-2</v>
      </c>
      <c r="K111" s="262">
        <f t="shared" si="9"/>
        <v>2.0924888084408524E-2</v>
      </c>
      <c r="L111">
        <f>K111*Calculations!Y111</f>
        <v>12.511729450681598</v>
      </c>
    </row>
    <row r="112" spans="1:12">
      <c r="A112" s="255">
        <v>418</v>
      </c>
      <c r="B112" s="264" t="s">
        <v>764</v>
      </c>
      <c r="C112" s="257">
        <v>20.6</v>
      </c>
      <c r="D112" s="258">
        <v>42964.160000000003</v>
      </c>
      <c r="E112" s="259">
        <f t="shared" si="5"/>
        <v>885061.7</v>
      </c>
      <c r="F112" s="248"/>
      <c r="G112" s="258">
        <f t="shared" si="6"/>
        <v>-470.35999999999331</v>
      </c>
      <c r="H112" s="260">
        <f t="shared" si="7"/>
        <v>-1.0829174582797123E-2</v>
      </c>
      <c r="I112" s="261"/>
      <c r="J112" s="262">
        <f t="shared" si="8"/>
        <v>0</v>
      </c>
      <c r="K112" s="262">
        <f t="shared" si="9"/>
        <v>0</v>
      </c>
      <c r="L112">
        <f>K112*Calculations!Y112</f>
        <v>0</v>
      </c>
    </row>
    <row r="113" spans="1:12">
      <c r="A113" s="255">
        <v>421</v>
      </c>
      <c r="B113" s="256" t="s">
        <v>765</v>
      </c>
      <c r="C113" s="257">
        <v>76.680000000000007</v>
      </c>
      <c r="D113" s="258">
        <v>45182.02</v>
      </c>
      <c r="E113" s="259">
        <f t="shared" si="5"/>
        <v>3464557.29</v>
      </c>
      <c r="F113" s="248"/>
      <c r="G113" s="258">
        <f t="shared" si="6"/>
        <v>1747.5</v>
      </c>
      <c r="H113" s="260">
        <f t="shared" si="7"/>
        <v>4.0232975983158101E-2</v>
      </c>
      <c r="I113" s="261"/>
      <c r="J113" s="262">
        <f t="shared" si="8"/>
        <v>2.2409767622619065E-2</v>
      </c>
      <c r="K113" s="262">
        <f t="shared" si="9"/>
        <v>2.2409767622619065E-2</v>
      </c>
      <c r="L113">
        <f>K113*Calculations!Y113</f>
        <v>35.227141147864096</v>
      </c>
    </row>
    <row r="114" spans="1:12">
      <c r="A114" s="255">
        <v>422</v>
      </c>
      <c r="B114" s="264" t="s">
        <v>766</v>
      </c>
      <c r="C114" s="257">
        <v>20.03</v>
      </c>
      <c r="D114" s="258">
        <v>42335.46</v>
      </c>
      <c r="E114" s="259">
        <f t="shared" si="5"/>
        <v>847979.26</v>
      </c>
      <c r="F114" s="248"/>
      <c r="G114" s="258">
        <f t="shared" si="6"/>
        <v>-1099.0599999999977</v>
      </c>
      <c r="H114" s="260">
        <f t="shared" si="7"/>
        <v>-2.5303836671845291E-2</v>
      </c>
      <c r="I114" s="261"/>
      <c r="J114" s="262">
        <f t="shared" si="8"/>
        <v>0</v>
      </c>
      <c r="K114" s="262">
        <f t="shared" si="9"/>
        <v>0</v>
      </c>
      <c r="L114">
        <f>K114*Calculations!Y114</f>
        <v>0</v>
      </c>
    </row>
    <row r="115" spans="1:12">
      <c r="A115" s="255">
        <v>431</v>
      </c>
      <c r="B115" s="256" t="s">
        <v>767</v>
      </c>
      <c r="C115" s="257">
        <v>83.348301886792399</v>
      </c>
      <c r="D115" s="258">
        <v>44314.26</v>
      </c>
      <c r="E115" s="259">
        <f t="shared" si="5"/>
        <v>3693518.32</v>
      </c>
      <c r="F115" s="248"/>
      <c r="G115" s="258">
        <f t="shared" si="6"/>
        <v>879.74000000000524</v>
      </c>
      <c r="H115" s="260">
        <f t="shared" si="7"/>
        <v>2.025439673328968E-2</v>
      </c>
      <c r="I115" s="261"/>
      <c r="J115" s="262">
        <f t="shared" si="8"/>
        <v>1.1281698980442352E-2</v>
      </c>
      <c r="K115" s="262">
        <f t="shared" si="9"/>
        <v>1.1281698980442352E-2</v>
      </c>
      <c r="L115">
        <f>K115*Calculations!Y115</f>
        <v>22.392828592415039</v>
      </c>
    </row>
    <row r="116" spans="1:12">
      <c r="A116" s="255">
        <v>432</v>
      </c>
      <c r="B116" s="263" t="s">
        <v>768</v>
      </c>
      <c r="C116" s="257">
        <v>15.199099099099101</v>
      </c>
      <c r="D116" s="258">
        <v>43288.94</v>
      </c>
      <c r="E116" s="259">
        <f t="shared" si="5"/>
        <v>657952.89</v>
      </c>
      <c r="F116" s="248"/>
      <c r="G116" s="258">
        <f t="shared" si="6"/>
        <v>-145.57999999999447</v>
      </c>
      <c r="H116" s="260">
        <f t="shared" si="7"/>
        <v>-3.3517119562963857E-3</v>
      </c>
      <c r="I116" s="261"/>
      <c r="J116" s="262">
        <f t="shared" si="8"/>
        <v>0</v>
      </c>
      <c r="K116" s="262">
        <f t="shared" si="9"/>
        <v>0</v>
      </c>
      <c r="L116">
        <f>K116*Calculations!Y116</f>
        <v>0</v>
      </c>
    </row>
    <row r="117" spans="1:12">
      <c r="A117" s="255">
        <v>433</v>
      </c>
      <c r="B117" s="264" t="s">
        <v>769</v>
      </c>
      <c r="C117" s="257">
        <v>14.55</v>
      </c>
      <c r="D117" s="258">
        <v>44171.58</v>
      </c>
      <c r="E117" s="259">
        <f t="shared" si="5"/>
        <v>642696.49</v>
      </c>
      <c r="F117" s="248"/>
      <c r="G117" s="258">
        <f t="shared" si="6"/>
        <v>737.06000000000495</v>
      </c>
      <c r="H117" s="260">
        <f t="shared" si="7"/>
        <v>1.6969451947437316E-2</v>
      </c>
      <c r="I117" s="261"/>
      <c r="J117" s="262">
        <f t="shared" si="8"/>
        <v>9.4519847347225867E-3</v>
      </c>
      <c r="K117" s="262">
        <f t="shared" si="9"/>
        <v>9.4519847347225867E-3</v>
      </c>
      <c r="L117">
        <f>K117*Calculations!Y117</f>
        <v>2.8522021872201067</v>
      </c>
    </row>
    <row r="118" spans="1:12">
      <c r="A118" s="255">
        <v>451</v>
      </c>
      <c r="B118" s="264" t="s">
        <v>770</v>
      </c>
      <c r="C118" s="265">
        <v>16.809999999999999</v>
      </c>
      <c r="D118" s="267">
        <v>45291.92</v>
      </c>
      <c r="E118" s="259">
        <f t="shared" si="5"/>
        <v>761357.18</v>
      </c>
      <c r="F118" s="248"/>
      <c r="G118" s="258">
        <f t="shared" si="6"/>
        <v>1857.4000000000015</v>
      </c>
      <c r="H118" s="260">
        <f t="shared" si="7"/>
        <v>4.2763221511369333E-2</v>
      </c>
      <c r="I118" s="261"/>
      <c r="J118" s="262">
        <f t="shared" si="8"/>
        <v>2.3819114381832721E-2</v>
      </c>
      <c r="K118" s="262">
        <f t="shared" si="9"/>
        <v>2.3819114381832721E-2</v>
      </c>
      <c r="L118">
        <f>K118*Calculations!Y118</f>
        <v>14.74692384604799</v>
      </c>
    </row>
    <row r="119" spans="1:12">
      <c r="A119" s="255">
        <v>452</v>
      </c>
      <c r="B119" s="264" t="s">
        <v>771</v>
      </c>
      <c r="C119" s="265">
        <v>40.72</v>
      </c>
      <c r="D119" s="267">
        <v>44742.65</v>
      </c>
      <c r="E119" s="259">
        <f t="shared" si="5"/>
        <v>1821920.71</v>
      </c>
      <c r="F119" s="248"/>
      <c r="G119" s="258">
        <f t="shared" si="6"/>
        <v>1308.1300000000047</v>
      </c>
      <c r="H119" s="260">
        <f t="shared" si="7"/>
        <v>3.0117289197624488E-2</v>
      </c>
      <c r="I119" s="261"/>
      <c r="J119" s="262">
        <f t="shared" si="8"/>
        <v>1.6775330083076842E-2</v>
      </c>
      <c r="K119" s="262">
        <f t="shared" si="9"/>
        <v>1.6775330083076842E-2</v>
      </c>
      <c r="L119">
        <f>K119*Calculations!Y119</f>
        <v>35.515101644872232</v>
      </c>
    </row>
    <row r="120" spans="1:12">
      <c r="A120" s="255">
        <v>453</v>
      </c>
      <c r="B120" s="264" t="s">
        <v>772</v>
      </c>
      <c r="C120" s="265">
        <v>21.54</v>
      </c>
      <c r="D120" s="267">
        <v>45778.98</v>
      </c>
      <c r="E120" s="259">
        <f t="shared" si="5"/>
        <v>986079.23</v>
      </c>
      <c r="F120" s="248"/>
      <c r="G120" s="258">
        <f t="shared" si="6"/>
        <v>2344.4600000000064</v>
      </c>
      <c r="H120" s="260">
        <f t="shared" si="7"/>
        <v>5.3976882903276166E-2</v>
      </c>
      <c r="I120" s="261"/>
      <c r="J120" s="262">
        <f t="shared" si="8"/>
        <v>3.0065123777124829E-2</v>
      </c>
      <c r="K120" s="262">
        <f t="shared" si="9"/>
        <v>3.0065123777124829E-2</v>
      </c>
      <c r="L120">
        <f>K120*Calculations!Y120</f>
        <v>21.288934498042721</v>
      </c>
    </row>
    <row r="121" spans="1:12">
      <c r="A121" s="255">
        <v>454</v>
      </c>
      <c r="B121" s="264" t="s">
        <v>773</v>
      </c>
      <c r="C121" s="265">
        <v>13</v>
      </c>
      <c r="D121" s="267">
        <v>42215.199999999997</v>
      </c>
      <c r="E121" s="259">
        <f t="shared" si="5"/>
        <v>548797.6</v>
      </c>
      <c r="F121" s="248"/>
      <c r="G121" s="258">
        <f t="shared" si="6"/>
        <v>-1219.3199999999997</v>
      </c>
      <c r="H121" s="260">
        <f t="shared" si="7"/>
        <v>-2.8072602160677723E-2</v>
      </c>
      <c r="I121" s="261"/>
      <c r="J121" s="262">
        <f t="shared" si="8"/>
        <v>0</v>
      </c>
      <c r="K121" s="262">
        <f t="shared" si="9"/>
        <v>0</v>
      </c>
      <c r="L121">
        <f>K121*Calculations!Y121</f>
        <v>0</v>
      </c>
    </row>
    <row r="122" spans="1:12">
      <c r="A122" s="255">
        <v>455</v>
      </c>
      <c r="B122" s="264" t="s">
        <v>774</v>
      </c>
      <c r="C122" s="265">
        <v>44.82</v>
      </c>
      <c r="D122" s="267">
        <v>41652.839999999997</v>
      </c>
      <c r="E122" s="259">
        <f t="shared" si="5"/>
        <v>1866880.29</v>
      </c>
      <c r="F122" s="248"/>
      <c r="G122" s="258">
        <f t="shared" si="6"/>
        <v>-1781.6800000000003</v>
      </c>
      <c r="H122" s="260">
        <f t="shared" si="7"/>
        <v>-4.1019907667910235E-2</v>
      </c>
      <c r="I122" s="261"/>
      <c r="J122" s="262">
        <f t="shared" si="8"/>
        <v>0</v>
      </c>
      <c r="K122" s="262">
        <f t="shared" si="9"/>
        <v>0</v>
      </c>
      <c r="L122">
        <f>K122*Calculations!Y122</f>
        <v>0</v>
      </c>
    </row>
    <row r="123" spans="1:12">
      <c r="A123" s="255">
        <v>456</v>
      </c>
      <c r="B123" s="264" t="s">
        <v>775</v>
      </c>
      <c r="C123" s="265">
        <v>14.85</v>
      </c>
      <c r="D123" s="267">
        <v>43270.46</v>
      </c>
      <c r="E123" s="259">
        <f t="shared" si="5"/>
        <v>642566.32999999996</v>
      </c>
      <c r="F123" s="248"/>
      <c r="G123" s="258">
        <f t="shared" si="6"/>
        <v>-164.05999999999767</v>
      </c>
      <c r="H123" s="260">
        <f t="shared" si="7"/>
        <v>-3.7771799941612727E-3</v>
      </c>
      <c r="I123" s="261"/>
      <c r="J123" s="262">
        <f t="shared" si="8"/>
        <v>0</v>
      </c>
      <c r="K123" s="262">
        <f t="shared" si="9"/>
        <v>0</v>
      </c>
      <c r="L123">
        <f>K123*Calculations!Y123</f>
        <v>0</v>
      </c>
    </row>
    <row r="124" spans="1:12">
      <c r="A124" s="255">
        <v>457</v>
      </c>
      <c r="B124" s="264" t="s">
        <v>776</v>
      </c>
      <c r="C124" s="265">
        <v>27.66</v>
      </c>
      <c r="D124" s="267">
        <v>43596.52</v>
      </c>
      <c r="E124" s="259">
        <f t="shared" si="5"/>
        <v>1205879.74</v>
      </c>
      <c r="F124" s="248"/>
      <c r="G124" s="258">
        <f t="shared" si="6"/>
        <v>162</v>
      </c>
      <c r="H124" s="260">
        <f t="shared" si="7"/>
        <v>3.7297522799837552E-3</v>
      </c>
      <c r="I124" s="261"/>
      <c r="J124" s="262">
        <f t="shared" si="8"/>
        <v>2.0774720199509518E-3</v>
      </c>
      <c r="K124" s="262">
        <f t="shared" si="9"/>
        <v>2.0774720199509518E-3</v>
      </c>
      <c r="L124">
        <f>K124*Calculations!Y124</f>
        <v>2.5811378279559065</v>
      </c>
    </row>
    <row r="125" spans="1:12">
      <c r="A125" s="255">
        <v>458</v>
      </c>
      <c r="B125" s="264" t="s">
        <v>777</v>
      </c>
      <c r="C125" s="265">
        <v>15.29</v>
      </c>
      <c r="D125" s="267">
        <v>44865.14</v>
      </c>
      <c r="E125" s="259">
        <f t="shared" si="5"/>
        <v>685987.99</v>
      </c>
      <c r="F125" s="248"/>
      <c r="G125" s="258">
        <f t="shared" si="6"/>
        <v>1430.6200000000026</v>
      </c>
      <c r="H125" s="260">
        <f t="shared" si="7"/>
        <v>3.293739633821216E-2</v>
      </c>
      <c r="I125" s="261"/>
      <c r="J125" s="262">
        <f t="shared" si="8"/>
        <v>1.8346129760384175E-2</v>
      </c>
      <c r="K125" s="262">
        <f t="shared" si="9"/>
        <v>1.8346129760384175E-2</v>
      </c>
      <c r="L125">
        <f>K125*Calculations!Y125</f>
        <v>11.619100329203954</v>
      </c>
    </row>
    <row r="126" spans="1:12">
      <c r="A126" s="255">
        <v>460</v>
      </c>
      <c r="B126" s="264" t="s">
        <v>778</v>
      </c>
      <c r="C126" s="265">
        <v>23.66</v>
      </c>
      <c r="D126" s="267">
        <v>41670.910000000003</v>
      </c>
      <c r="E126" s="259">
        <f t="shared" si="5"/>
        <v>985933.73</v>
      </c>
      <c r="F126" s="248"/>
      <c r="G126" s="258">
        <f t="shared" si="6"/>
        <v>-1763.6099999999933</v>
      </c>
      <c r="H126" s="260">
        <f t="shared" si="7"/>
        <v>-4.060387912655633E-2</v>
      </c>
      <c r="I126" s="261"/>
      <c r="J126" s="262">
        <f t="shared" si="8"/>
        <v>0</v>
      </c>
      <c r="K126" s="262">
        <f t="shared" si="9"/>
        <v>0</v>
      </c>
      <c r="L126">
        <f>K126*Calculations!Y126</f>
        <v>0</v>
      </c>
    </row>
    <row r="127" spans="1:12">
      <c r="A127" s="255">
        <v>461</v>
      </c>
      <c r="B127" s="264" t="s">
        <v>779</v>
      </c>
      <c r="C127" s="265">
        <v>17.14</v>
      </c>
      <c r="D127" s="267">
        <v>43639.49</v>
      </c>
      <c r="E127" s="259">
        <f t="shared" si="5"/>
        <v>747980.86</v>
      </c>
      <c r="F127" s="248"/>
      <c r="G127" s="258">
        <f t="shared" si="6"/>
        <v>204.97000000000116</v>
      </c>
      <c r="H127" s="260">
        <f t="shared" si="7"/>
        <v>4.719057560668362E-3</v>
      </c>
      <c r="I127" s="261"/>
      <c r="J127" s="262">
        <f t="shared" si="8"/>
        <v>2.6285150612922778E-3</v>
      </c>
      <c r="K127" s="262">
        <f t="shared" si="9"/>
        <v>2.6285150612922778E-3</v>
      </c>
      <c r="L127">
        <f>K127*Calculations!Y127</f>
        <v>1.4765621228271562</v>
      </c>
    </row>
    <row r="128" spans="1:12">
      <c r="A128" s="255">
        <v>462</v>
      </c>
      <c r="B128" s="264" t="s">
        <v>780</v>
      </c>
      <c r="C128" s="265">
        <v>32.42</v>
      </c>
      <c r="D128" s="267">
        <v>41500.29</v>
      </c>
      <c r="E128" s="259">
        <f t="shared" si="5"/>
        <v>1345439.4</v>
      </c>
      <c r="F128" s="248"/>
      <c r="G128" s="258">
        <f t="shared" si="6"/>
        <v>-1934.2299999999959</v>
      </c>
      <c r="H128" s="260">
        <f t="shared" si="7"/>
        <v>-4.4532091064894835E-2</v>
      </c>
      <c r="I128" s="261"/>
      <c r="J128" s="262">
        <f t="shared" si="8"/>
        <v>0</v>
      </c>
      <c r="K128" s="262">
        <f t="shared" si="9"/>
        <v>0</v>
      </c>
      <c r="L128">
        <f>K128*Calculations!Y128</f>
        <v>0</v>
      </c>
    </row>
    <row r="129" spans="1:12">
      <c r="A129" s="255">
        <v>463</v>
      </c>
      <c r="B129" s="264" t="s">
        <v>781</v>
      </c>
      <c r="C129" s="265">
        <v>25.98</v>
      </c>
      <c r="D129" s="267">
        <v>45756.82</v>
      </c>
      <c r="E129" s="259">
        <f t="shared" si="5"/>
        <v>1188762.18</v>
      </c>
      <c r="F129" s="248"/>
      <c r="G129" s="258">
        <f t="shared" si="6"/>
        <v>2322.3000000000029</v>
      </c>
      <c r="H129" s="260">
        <f t="shared" si="7"/>
        <v>5.3466689628433858E-2</v>
      </c>
      <c r="I129" s="261"/>
      <c r="J129" s="262">
        <f t="shared" si="8"/>
        <v>2.9780946123037663E-2</v>
      </c>
      <c r="K129" s="262">
        <f t="shared" si="9"/>
        <v>2.9780946123037663E-2</v>
      </c>
      <c r="L129">
        <f>K129*Calculations!Y129</f>
        <v>28.123079875676876</v>
      </c>
    </row>
    <row r="130" spans="1:12">
      <c r="A130" s="255">
        <v>464</v>
      </c>
      <c r="B130" s="264" t="s">
        <v>782</v>
      </c>
      <c r="C130" s="265">
        <v>20.239999999999998</v>
      </c>
      <c r="D130" s="267">
        <v>40701.1</v>
      </c>
      <c r="E130" s="259">
        <f t="shared" si="5"/>
        <v>823790.26</v>
      </c>
      <c r="F130" s="248"/>
      <c r="G130" s="258">
        <f t="shared" si="6"/>
        <v>-2733.4199999999983</v>
      </c>
      <c r="H130" s="260">
        <f t="shared" si="7"/>
        <v>-6.2931972081192528E-2</v>
      </c>
      <c r="I130" s="261"/>
      <c r="J130" s="262">
        <f t="shared" si="8"/>
        <v>0</v>
      </c>
      <c r="K130" s="262">
        <f t="shared" si="9"/>
        <v>0</v>
      </c>
      <c r="L130">
        <f>K130*Calculations!Y130</f>
        <v>0</v>
      </c>
    </row>
    <row r="131" spans="1:12">
      <c r="A131" s="255">
        <v>465</v>
      </c>
      <c r="B131" s="264" t="s">
        <v>783</v>
      </c>
      <c r="C131" s="265">
        <v>15.2</v>
      </c>
      <c r="D131" s="267">
        <v>38249.129999999997</v>
      </c>
      <c r="E131" s="259">
        <f t="shared" ref="E131:E175" si="10">ROUND(C131*D131,2)</f>
        <v>581386.78</v>
      </c>
      <c r="F131" s="248"/>
      <c r="G131" s="258">
        <f t="shared" ref="G131:G175" si="11">D131-$D$178</f>
        <v>-5185.3899999999994</v>
      </c>
      <c r="H131" s="260">
        <f t="shared" ref="H131:H175" si="12">MAX(G131/$D$178)</f>
        <v>-0.1193840751549689</v>
      </c>
      <c r="I131" s="261"/>
      <c r="J131" s="262">
        <f t="shared" ref="J131:J175" si="13">MAX(G131/$D$178,0)*0.557</f>
        <v>0</v>
      </c>
      <c r="K131" s="262">
        <f t="shared" ref="K131:K175" si="14">MIN(J131,$M$3)</f>
        <v>0</v>
      </c>
      <c r="L131">
        <f>K131*Calculations!Y131</f>
        <v>0</v>
      </c>
    </row>
    <row r="132" spans="1:12">
      <c r="A132" s="255">
        <v>466</v>
      </c>
      <c r="B132" s="264" t="s">
        <v>784</v>
      </c>
      <c r="C132" s="265">
        <v>13.4275</v>
      </c>
      <c r="D132" s="267">
        <v>43818.71</v>
      </c>
      <c r="E132" s="259">
        <f t="shared" si="10"/>
        <v>588375.73</v>
      </c>
      <c r="F132" s="248"/>
      <c r="G132" s="258">
        <f t="shared" si="11"/>
        <v>384.19000000000233</v>
      </c>
      <c r="H132" s="260">
        <f t="shared" si="12"/>
        <v>8.8452686941170831E-3</v>
      </c>
      <c r="I132" s="261"/>
      <c r="J132" s="262">
        <f t="shared" si="13"/>
        <v>4.9268146626232157E-3</v>
      </c>
      <c r="K132" s="262">
        <f t="shared" si="14"/>
        <v>4.9268146626232157E-3</v>
      </c>
      <c r="L132">
        <f>K132*Calculations!Y132</f>
        <v>3.8740946984934403</v>
      </c>
    </row>
    <row r="133" spans="1:12">
      <c r="A133" s="255">
        <v>468</v>
      </c>
      <c r="B133" s="264" t="s">
        <v>785</v>
      </c>
      <c r="C133" s="265">
        <v>17.77</v>
      </c>
      <c r="D133" s="267">
        <v>41002.230000000003</v>
      </c>
      <c r="E133" s="259">
        <f t="shared" si="10"/>
        <v>728609.63</v>
      </c>
      <c r="F133" s="248"/>
      <c r="G133" s="258">
        <f t="shared" si="11"/>
        <v>-2432.2899999999936</v>
      </c>
      <c r="H133" s="260">
        <f t="shared" si="12"/>
        <v>-5.599900724124484E-2</v>
      </c>
      <c r="I133" s="261"/>
      <c r="J133" s="262">
        <f t="shared" si="13"/>
        <v>0</v>
      </c>
      <c r="K133" s="262">
        <f t="shared" si="14"/>
        <v>0</v>
      </c>
      <c r="L133">
        <f>K133*Calculations!Y133</f>
        <v>0</v>
      </c>
    </row>
    <row r="134" spans="1:12">
      <c r="A134" s="255">
        <v>469</v>
      </c>
      <c r="B134" s="264" t="s">
        <v>786</v>
      </c>
      <c r="C134" s="265">
        <v>7.6088579387186597</v>
      </c>
      <c r="D134" s="267">
        <v>44760.160000000003</v>
      </c>
      <c r="E134" s="259">
        <f t="shared" si="10"/>
        <v>340573.7</v>
      </c>
      <c r="F134" s="248"/>
      <c r="G134" s="258">
        <f t="shared" si="11"/>
        <v>1325.6400000000067</v>
      </c>
      <c r="H134" s="260">
        <f t="shared" si="12"/>
        <v>3.0520424768133891E-2</v>
      </c>
      <c r="I134" s="261"/>
      <c r="J134" s="262">
        <f t="shared" si="13"/>
        <v>1.6999876595850578E-2</v>
      </c>
      <c r="K134" s="262">
        <f t="shared" si="14"/>
        <v>1.6999876595850578E-2</v>
      </c>
      <c r="L134">
        <f>K134*Calculations!Y134</f>
        <v>7.1192305965106719</v>
      </c>
    </row>
    <row r="135" spans="1:12">
      <c r="A135" s="255">
        <v>470</v>
      </c>
      <c r="B135" s="264" t="s">
        <v>787</v>
      </c>
      <c r="C135" s="265">
        <v>6</v>
      </c>
      <c r="D135" s="267">
        <v>44717.17</v>
      </c>
      <c r="E135" s="259">
        <f t="shared" si="10"/>
        <v>268303.02</v>
      </c>
      <c r="F135" s="248"/>
      <c r="G135" s="258">
        <f t="shared" si="11"/>
        <v>1282.6500000000015</v>
      </c>
      <c r="H135" s="260">
        <f t="shared" si="12"/>
        <v>2.9530659024204747E-2</v>
      </c>
      <c r="I135" s="261"/>
      <c r="J135" s="262">
        <f t="shared" si="13"/>
        <v>1.6448577076482045E-2</v>
      </c>
      <c r="K135" s="262">
        <f t="shared" si="14"/>
        <v>1.6448577076482045E-2</v>
      </c>
      <c r="L135">
        <f>K135*Calculations!Y135</f>
        <v>8.6268254899567598</v>
      </c>
    </row>
    <row r="136" spans="1:12">
      <c r="A136" s="255">
        <v>472</v>
      </c>
      <c r="B136" s="264" t="s">
        <v>788</v>
      </c>
      <c r="C136" s="265">
        <v>11.92</v>
      </c>
      <c r="D136" s="267">
        <v>38920.17</v>
      </c>
      <c r="E136" s="259">
        <f t="shared" si="10"/>
        <v>463928.43</v>
      </c>
      <c r="F136" s="248"/>
      <c r="G136" s="258">
        <f t="shared" si="11"/>
        <v>-4514.3499999999985</v>
      </c>
      <c r="H136" s="260">
        <f t="shared" si="12"/>
        <v>-0.10393461237743618</v>
      </c>
      <c r="I136" s="261"/>
      <c r="J136" s="262">
        <f t="shared" si="13"/>
        <v>0</v>
      </c>
      <c r="K136" s="262">
        <f t="shared" si="14"/>
        <v>0</v>
      </c>
      <c r="L136">
        <f>K136*Calculations!Y136</f>
        <v>0</v>
      </c>
    </row>
    <row r="137" spans="1:12">
      <c r="A137" s="255">
        <v>473</v>
      </c>
      <c r="B137" s="264" t="s">
        <v>789</v>
      </c>
      <c r="C137" s="265">
        <v>20.64</v>
      </c>
      <c r="D137" s="267">
        <v>37911.279999999999</v>
      </c>
      <c r="E137" s="259">
        <f t="shared" si="10"/>
        <v>782488.82</v>
      </c>
      <c r="F137" s="248"/>
      <c r="G137" s="258">
        <f t="shared" si="11"/>
        <v>-5523.239999999998</v>
      </c>
      <c r="H137" s="260">
        <f t="shared" si="12"/>
        <v>-0.12716245051171277</v>
      </c>
      <c r="I137" s="261"/>
      <c r="J137" s="262">
        <f t="shared" si="13"/>
        <v>0</v>
      </c>
      <c r="K137" s="262">
        <f t="shared" si="14"/>
        <v>0</v>
      </c>
      <c r="L137">
        <f>K137*Calculations!Y137</f>
        <v>0</v>
      </c>
    </row>
    <row r="138" spans="1:12">
      <c r="A138" s="255">
        <v>474</v>
      </c>
      <c r="B138" s="264" t="s">
        <v>790</v>
      </c>
      <c r="C138" s="265">
        <v>9</v>
      </c>
      <c r="D138" s="267">
        <v>39315.519999999997</v>
      </c>
      <c r="E138" s="259">
        <f t="shared" si="10"/>
        <v>353839.68</v>
      </c>
      <c r="F138" s="248"/>
      <c r="G138" s="258">
        <f t="shared" si="11"/>
        <v>-4119</v>
      </c>
      <c r="H138" s="260">
        <f t="shared" si="12"/>
        <v>-9.4832405192920299E-2</v>
      </c>
      <c r="I138" s="261"/>
      <c r="J138" s="262">
        <f t="shared" si="13"/>
        <v>0</v>
      </c>
      <c r="K138" s="262">
        <f t="shared" si="14"/>
        <v>0</v>
      </c>
      <c r="L138">
        <f>K138*Calculations!Y138</f>
        <v>0</v>
      </c>
    </row>
    <row r="139" spans="1:12">
      <c r="A139" s="255">
        <v>475</v>
      </c>
      <c r="B139" s="264" t="s">
        <v>791</v>
      </c>
      <c r="C139" s="265">
        <v>60.09</v>
      </c>
      <c r="D139" s="267">
        <v>40122.769999999997</v>
      </c>
      <c r="E139" s="259">
        <f t="shared" si="10"/>
        <v>2410977.25</v>
      </c>
      <c r="F139" s="248"/>
      <c r="G139" s="258">
        <f t="shared" si="11"/>
        <v>-3311.75</v>
      </c>
      <c r="H139" s="260">
        <f t="shared" si="12"/>
        <v>-7.6246957489112352E-2</v>
      </c>
      <c r="I139" s="261"/>
      <c r="J139" s="262">
        <f t="shared" si="13"/>
        <v>0</v>
      </c>
      <c r="K139" s="262">
        <f t="shared" si="14"/>
        <v>0</v>
      </c>
      <c r="L139">
        <f>K139*Calculations!Y139</f>
        <v>0</v>
      </c>
    </row>
    <row r="140" spans="1:12">
      <c r="A140" s="255">
        <v>476</v>
      </c>
      <c r="B140" s="264" t="s">
        <v>792</v>
      </c>
      <c r="C140" s="265">
        <v>26.66</v>
      </c>
      <c r="D140" s="267">
        <v>43946.48</v>
      </c>
      <c r="E140" s="259">
        <f t="shared" si="10"/>
        <v>1171613.1599999999</v>
      </c>
      <c r="F140" s="248"/>
      <c r="G140" s="258">
        <f t="shared" si="11"/>
        <v>511.9600000000064</v>
      </c>
      <c r="H140" s="260">
        <f t="shared" si="12"/>
        <v>1.1786938131237698E-2</v>
      </c>
      <c r="I140" s="261"/>
      <c r="J140" s="262">
        <f t="shared" si="13"/>
        <v>6.5653245390993988E-3</v>
      </c>
      <c r="K140" s="262">
        <f t="shared" si="14"/>
        <v>6.5653245390993988E-3</v>
      </c>
      <c r="L140">
        <f>K140*Calculations!Y140</f>
        <v>5.6543523872813628</v>
      </c>
    </row>
    <row r="141" spans="1:12">
      <c r="A141" s="255">
        <v>477</v>
      </c>
      <c r="B141" s="264" t="s">
        <v>793</v>
      </c>
      <c r="C141" s="265">
        <v>34</v>
      </c>
      <c r="D141" s="267">
        <v>38276.76</v>
      </c>
      <c r="E141" s="259">
        <f t="shared" si="10"/>
        <v>1301409.8400000001</v>
      </c>
      <c r="F141" s="248"/>
      <c r="G141" s="258">
        <f t="shared" si="11"/>
        <v>-5157.7599999999948</v>
      </c>
      <c r="H141" s="260">
        <f t="shared" si="12"/>
        <v>-0.11874794518277157</v>
      </c>
      <c r="I141" s="261"/>
      <c r="J141" s="262">
        <f t="shared" si="13"/>
        <v>0</v>
      </c>
      <c r="K141" s="262">
        <f t="shared" si="14"/>
        <v>0</v>
      </c>
      <c r="L141">
        <f>K141*Calculations!Y141</f>
        <v>0</v>
      </c>
    </row>
    <row r="142" spans="1:12">
      <c r="A142" s="255">
        <v>478</v>
      </c>
      <c r="B142" s="264" t="s">
        <v>794</v>
      </c>
      <c r="C142" s="265">
        <v>9.98</v>
      </c>
      <c r="D142" s="267">
        <v>42152.18</v>
      </c>
      <c r="E142" s="259">
        <f t="shared" si="10"/>
        <v>420678.76</v>
      </c>
      <c r="F142" s="248"/>
      <c r="G142" s="258">
        <f t="shared" si="11"/>
        <v>-1282.3399999999965</v>
      </c>
      <c r="H142" s="260">
        <f t="shared" si="12"/>
        <v>-2.9523521843915775E-2</v>
      </c>
      <c r="I142" s="261"/>
      <c r="J142" s="262">
        <f t="shared" si="13"/>
        <v>0</v>
      </c>
      <c r="K142" s="262">
        <f t="shared" si="14"/>
        <v>0</v>
      </c>
      <c r="L142">
        <f>K142*Calculations!Y142</f>
        <v>0</v>
      </c>
    </row>
    <row r="143" spans="1:12">
      <c r="A143" s="255">
        <v>479</v>
      </c>
      <c r="B143" s="264" t="s">
        <v>795</v>
      </c>
      <c r="C143" s="265">
        <v>11.3788235294118</v>
      </c>
      <c r="D143" s="267">
        <v>40545.660000000003</v>
      </c>
      <c r="E143" s="259">
        <f t="shared" si="10"/>
        <v>461361.91</v>
      </c>
      <c r="F143" s="248"/>
      <c r="G143" s="258">
        <f t="shared" si="11"/>
        <v>-2888.8599999999933</v>
      </c>
      <c r="H143" s="260">
        <f t="shared" si="12"/>
        <v>-6.6510692416999043E-2</v>
      </c>
      <c r="I143" s="261"/>
      <c r="J143" s="262">
        <f t="shared" si="13"/>
        <v>0</v>
      </c>
      <c r="K143" s="262">
        <f t="shared" si="14"/>
        <v>0</v>
      </c>
      <c r="L143">
        <f>K143*Calculations!Y143</f>
        <v>0</v>
      </c>
    </row>
    <row r="144" spans="1:12">
      <c r="A144" s="255">
        <v>480</v>
      </c>
      <c r="B144" s="264" t="s">
        <v>796</v>
      </c>
      <c r="C144" s="265">
        <v>22.18</v>
      </c>
      <c r="D144" s="267">
        <v>40482.230000000003</v>
      </c>
      <c r="E144" s="259">
        <f t="shared" si="10"/>
        <v>897895.86</v>
      </c>
      <c r="F144" s="248"/>
      <c r="G144" s="258">
        <f t="shared" si="11"/>
        <v>-2952.2899999999936</v>
      </c>
      <c r="H144" s="260">
        <f t="shared" si="12"/>
        <v>-6.7971051596748253E-2</v>
      </c>
      <c r="I144" s="261"/>
      <c r="J144" s="262">
        <f t="shared" si="13"/>
        <v>0</v>
      </c>
      <c r="K144" s="262">
        <f t="shared" si="14"/>
        <v>0</v>
      </c>
      <c r="L144">
        <f>K144*Calculations!Y144</f>
        <v>0</v>
      </c>
    </row>
    <row r="145" spans="1:12">
      <c r="A145" s="255">
        <v>481</v>
      </c>
      <c r="B145" s="264" t="s">
        <v>797</v>
      </c>
      <c r="C145" s="265">
        <v>20.9</v>
      </c>
      <c r="D145" s="267">
        <v>41380.68</v>
      </c>
      <c r="E145" s="259">
        <f t="shared" si="10"/>
        <v>864856.21</v>
      </c>
      <c r="F145" s="248"/>
      <c r="G145" s="258">
        <f t="shared" si="11"/>
        <v>-2053.8399999999965</v>
      </c>
      <c r="H145" s="260">
        <f t="shared" si="12"/>
        <v>-4.7285891498282856E-2</v>
      </c>
      <c r="I145" s="261"/>
      <c r="J145" s="262">
        <f t="shared" si="13"/>
        <v>0</v>
      </c>
      <c r="K145" s="262">
        <f t="shared" si="14"/>
        <v>0</v>
      </c>
      <c r="L145">
        <f>K145*Calculations!Y145</f>
        <v>0</v>
      </c>
    </row>
    <row r="146" spans="1:12">
      <c r="A146" s="255">
        <v>482</v>
      </c>
      <c r="B146" s="264" t="s">
        <v>798</v>
      </c>
      <c r="C146" s="265">
        <v>15.417</v>
      </c>
      <c r="D146" s="267">
        <v>39590.28</v>
      </c>
      <c r="E146" s="259">
        <f t="shared" si="10"/>
        <v>610363.35</v>
      </c>
      <c r="F146" s="248"/>
      <c r="G146" s="258">
        <f t="shared" si="11"/>
        <v>-3844.239999999998</v>
      </c>
      <c r="H146" s="260">
        <f t="shared" si="12"/>
        <v>-8.8506561140770018E-2</v>
      </c>
      <c r="I146" s="261"/>
      <c r="J146" s="262">
        <f t="shared" si="13"/>
        <v>0</v>
      </c>
      <c r="K146" s="262">
        <f t="shared" si="14"/>
        <v>0</v>
      </c>
      <c r="L146">
        <f>K146*Calculations!Y146</f>
        <v>0</v>
      </c>
    </row>
    <row r="147" spans="1:12">
      <c r="A147" s="255">
        <v>483</v>
      </c>
      <c r="B147" s="264" t="s">
        <v>799</v>
      </c>
      <c r="C147" s="265">
        <v>6.8620000000000001</v>
      </c>
      <c r="D147" s="267">
        <v>42603.38</v>
      </c>
      <c r="E147" s="259">
        <f t="shared" si="10"/>
        <v>292344.39</v>
      </c>
      <c r="F147" s="248"/>
      <c r="G147" s="258">
        <f t="shared" si="11"/>
        <v>-831.13999999999942</v>
      </c>
      <c r="H147" s="260">
        <f t="shared" si="12"/>
        <v>-1.913547104929442E-2</v>
      </c>
      <c r="I147" s="261"/>
      <c r="J147" s="262">
        <f t="shared" si="13"/>
        <v>0</v>
      </c>
      <c r="K147" s="262">
        <f t="shared" si="14"/>
        <v>0</v>
      </c>
      <c r="L147">
        <f>K147*Calculations!Y147</f>
        <v>0</v>
      </c>
    </row>
    <row r="148" spans="1:12">
      <c r="A148" s="255">
        <v>485</v>
      </c>
      <c r="B148" s="264" t="s">
        <v>800</v>
      </c>
      <c r="C148" s="265">
        <v>9.35</v>
      </c>
      <c r="D148" s="267">
        <v>39147.17</v>
      </c>
      <c r="E148" s="259">
        <f t="shared" si="10"/>
        <v>366026.04</v>
      </c>
      <c r="F148" s="248"/>
      <c r="G148" s="258">
        <f t="shared" si="11"/>
        <v>-4287.3499999999985</v>
      </c>
      <c r="H148" s="260">
        <f t="shared" si="12"/>
        <v>-9.8708354553014493E-2</v>
      </c>
      <c r="I148" s="261"/>
      <c r="J148" s="262">
        <f t="shared" si="13"/>
        <v>0</v>
      </c>
      <c r="K148" s="262">
        <f t="shared" si="14"/>
        <v>0</v>
      </c>
      <c r="L148">
        <f>K148*Calculations!Y148</f>
        <v>0</v>
      </c>
    </row>
    <row r="149" spans="1:12">
      <c r="A149" s="255">
        <v>486</v>
      </c>
      <c r="B149" s="264" t="s">
        <v>801</v>
      </c>
      <c r="C149" s="265">
        <v>9.4349098196392802</v>
      </c>
      <c r="D149" s="267">
        <v>45537.66</v>
      </c>
      <c r="E149" s="259">
        <f t="shared" si="10"/>
        <v>429643.72</v>
      </c>
      <c r="F149" s="248"/>
      <c r="G149" s="258">
        <f t="shared" si="11"/>
        <v>2103.1400000000067</v>
      </c>
      <c r="H149" s="260">
        <f t="shared" si="12"/>
        <v>4.8420933395833705E-2</v>
      </c>
      <c r="I149" s="261"/>
      <c r="J149" s="262">
        <f t="shared" si="13"/>
        <v>2.6970459901479376E-2</v>
      </c>
      <c r="K149" s="262">
        <f t="shared" si="14"/>
        <v>2.6970459901479376E-2</v>
      </c>
      <c r="L149">
        <f>K149*Calculations!Y149</f>
        <v>4.9326347712311236</v>
      </c>
    </row>
    <row r="150" spans="1:12">
      <c r="A150" s="255">
        <v>487</v>
      </c>
      <c r="B150" s="264" t="s">
        <v>802</v>
      </c>
      <c r="C150" s="265">
        <v>22.514347020816501</v>
      </c>
      <c r="D150" s="267">
        <v>42239.11</v>
      </c>
      <c r="E150" s="259">
        <f t="shared" si="10"/>
        <v>950985.98</v>
      </c>
      <c r="F150" s="248"/>
      <c r="G150" s="258">
        <f t="shared" si="11"/>
        <v>-1195.4099999999962</v>
      </c>
      <c r="H150" s="260">
        <f t="shared" si="12"/>
        <v>-2.7522118351946706E-2</v>
      </c>
      <c r="I150" s="261"/>
      <c r="J150" s="262">
        <f t="shared" si="13"/>
        <v>0</v>
      </c>
      <c r="K150" s="262">
        <f t="shared" si="14"/>
        <v>0</v>
      </c>
      <c r="L150">
        <f>K150*Calculations!Y150</f>
        <v>0</v>
      </c>
    </row>
    <row r="151" spans="1:12">
      <c r="A151" s="255">
        <v>488</v>
      </c>
      <c r="B151" s="264" t="s">
        <v>803</v>
      </c>
      <c r="C151" s="265">
        <v>8.4</v>
      </c>
      <c r="D151" s="267">
        <v>41088.43</v>
      </c>
      <c r="E151" s="259">
        <f t="shared" si="10"/>
        <v>345142.81</v>
      </c>
      <c r="F151" s="248"/>
      <c r="G151" s="258">
        <f t="shared" si="11"/>
        <v>-2346.0899999999965</v>
      </c>
      <c r="H151" s="260">
        <f t="shared" si="12"/>
        <v>-5.4014410657697992E-2</v>
      </c>
      <c r="I151" s="261"/>
      <c r="J151" s="262">
        <f t="shared" si="13"/>
        <v>0</v>
      </c>
      <c r="K151" s="262">
        <f t="shared" si="14"/>
        <v>0</v>
      </c>
      <c r="L151">
        <f>K151*Calculations!Y151</f>
        <v>0</v>
      </c>
    </row>
    <row r="152" spans="1:12">
      <c r="A152" s="255">
        <v>489</v>
      </c>
      <c r="B152" s="264" t="s">
        <v>804</v>
      </c>
      <c r="C152" s="265">
        <v>5.98</v>
      </c>
      <c r="D152" s="267">
        <v>43011.6</v>
      </c>
      <c r="E152" s="259">
        <f t="shared" si="10"/>
        <v>257209.37</v>
      </c>
      <c r="F152" s="248"/>
      <c r="G152" s="258">
        <f t="shared" si="11"/>
        <v>-422.91999999999825</v>
      </c>
      <c r="H152" s="260">
        <f t="shared" si="12"/>
        <v>-9.7369557669797734E-3</v>
      </c>
      <c r="I152" s="261"/>
      <c r="J152" s="262">
        <f t="shared" si="13"/>
        <v>0</v>
      </c>
      <c r="K152" s="262">
        <f t="shared" si="14"/>
        <v>0</v>
      </c>
      <c r="L152">
        <f>K152*Calculations!Y152</f>
        <v>0</v>
      </c>
    </row>
    <row r="153" spans="1:12">
      <c r="A153" s="255">
        <v>490</v>
      </c>
      <c r="B153" s="264" t="s">
        <v>805</v>
      </c>
      <c r="C153" s="265">
        <v>11.9</v>
      </c>
      <c r="D153" s="267">
        <v>43545.41</v>
      </c>
      <c r="E153" s="259">
        <f t="shared" si="10"/>
        <v>518190.38</v>
      </c>
      <c r="F153" s="248"/>
      <c r="G153" s="258">
        <f t="shared" si="11"/>
        <v>110.89000000000669</v>
      </c>
      <c r="H153" s="260">
        <f t="shared" si="12"/>
        <v>2.5530384588112564E-3</v>
      </c>
      <c r="I153" s="261"/>
      <c r="J153" s="262">
        <f t="shared" si="13"/>
        <v>1.4220424215578699E-3</v>
      </c>
      <c r="K153" s="262">
        <f t="shared" si="14"/>
        <v>1.4220424215578699E-3</v>
      </c>
      <c r="L153">
        <f>K153*Calculations!Y153</f>
        <v>1.0454680267956857</v>
      </c>
    </row>
    <row r="154" spans="1:12">
      <c r="A154" s="255">
        <v>491</v>
      </c>
      <c r="B154" s="264" t="s">
        <v>806</v>
      </c>
      <c r="C154" s="265">
        <v>34.85</v>
      </c>
      <c r="D154" s="267">
        <v>45072.79</v>
      </c>
      <c r="E154" s="259">
        <f t="shared" si="10"/>
        <v>1570786.73</v>
      </c>
      <c r="F154" s="248"/>
      <c r="G154" s="258">
        <f t="shared" si="11"/>
        <v>1638.2700000000041</v>
      </c>
      <c r="H154" s="260">
        <f t="shared" si="12"/>
        <v>3.7718155973635814E-2</v>
      </c>
      <c r="I154" s="261"/>
      <c r="J154" s="262">
        <f t="shared" si="13"/>
        <v>2.1009012877315152E-2</v>
      </c>
      <c r="K154" s="262">
        <f t="shared" si="14"/>
        <v>2.1009012877315152E-2</v>
      </c>
      <c r="L154">
        <f>K154*Calculations!Y154</f>
        <v>19.242760434674327</v>
      </c>
    </row>
    <row r="155" spans="1:12">
      <c r="A155" s="268">
        <v>492</v>
      </c>
      <c r="B155" s="264" t="s">
        <v>807</v>
      </c>
      <c r="C155" s="265">
        <v>21.07</v>
      </c>
      <c r="D155" s="267">
        <v>42379.040000000001</v>
      </c>
      <c r="E155" s="259">
        <f t="shared" si="10"/>
        <v>892926.37</v>
      </c>
      <c r="F155" s="248"/>
      <c r="G155" s="258">
        <f t="shared" si="11"/>
        <v>-1055.4799999999959</v>
      </c>
      <c r="H155" s="260">
        <f t="shared" si="12"/>
        <v>-2.4300487262205177E-2</v>
      </c>
      <c r="I155" s="261"/>
      <c r="J155" s="262">
        <f t="shared" si="13"/>
        <v>0</v>
      </c>
      <c r="K155" s="262">
        <f t="shared" si="14"/>
        <v>0</v>
      </c>
      <c r="L155">
        <f>K155*Calculations!Y155</f>
        <v>0</v>
      </c>
    </row>
    <row r="156" spans="1:12">
      <c r="A156" s="255">
        <v>493</v>
      </c>
      <c r="B156" s="264" t="s">
        <v>808</v>
      </c>
      <c r="C156" s="265">
        <v>45.08</v>
      </c>
      <c r="D156" s="267">
        <v>44632.21</v>
      </c>
      <c r="E156" s="259">
        <f t="shared" si="10"/>
        <v>2012020.03</v>
      </c>
      <c r="F156" s="248"/>
      <c r="G156" s="258">
        <f t="shared" si="11"/>
        <v>1197.6900000000023</v>
      </c>
      <c r="H156" s="260">
        <f t="shared" si="12"/>
        <v>2.7574611161813287E-2</v>
      </c>
      <c r="I156" s="261"/>
      <c r="J156" s="262">
        <f t="shared" si="13"/>
        <v>1.5359058417130002E-2</v>
      </c>
      <c r="K156" s="262">
        <f t="shared" si="14"/>
        <v>1.5359058417130002E-2</v>
      </c>
      <c r="L156">
        <f>K156*Calculations!Y156</f>
        <v>18.480278745653155</v>
      </c>
    </row>
    <row r="157" spans="1:12">
      <c r="A157" s="268">
        <v>494</v>
      </c>
      <c r="B157" s="264" t="s">
        <v>809</v>
      </c>
      <c r="C157" s="265">
        <v>14</v>
      </c>
      <c r="D157" s="267">
        <v>42704.5</v>
      </c>
      <c r="E157" s="259">
        <f t="shared" si="10"/>
        <v>597863</v>
      </c>
      <c r="F157" s="248"/>
      <c r="G157" s="258">
        <f t="shared" si="11"/>
        <v>-730.0199999999968</v>
      </c>
      <c r="H157" s="260">
        <f t="shared" si="12"/>
        <v>-1.680736888539339E-2</v>
      </c>
      <c r="I157" s="261"/>
      <c r="J157" s="262">
        <f t="shared" si="13"/>
        <v>0</v>
      </c>
      <c r="K157" s="262">
        <f t="shared" si="14"/>
        <v>0</v>
      </c>
      <c r="L157">
        <f>K157*Calculations!Y157</f>
        <v>0</v>
      </c>
    </row>
    <row r="158" spans="1:12">
      <c r="A158" s="268">
        <v>495</v>
      </c>
      <c r="B158" s="264" t="s">
        <v>810</v>
      </c>
      <c r="C158" s="265">
        <v>19</v>
      </c>
      <c r="D158" s="267">
        <v>37628.629999999997</v>
      </c>
      <c r="E158" s="259">
        <f t="shared" si="10"/>
        <v>714943.97</v>
      </c>
      <c r="F158" s="248"/>
      <c r="G158" s="258">
        <f t="shared" si="11"/>
        <v>-5805.8899999999994</v>
      </c>
      <c r="H158" s="260">
        <f t="shared" si="12"/>
        <v>-0.13366994731379556</v>
      </c>
      <c r="I158" s="261"/>
      <c r="J158" s="262">
        <f t="shared" si="13"/>
        <v>0</v>
      </c>
      <c r="K158" s="262">
        <f t="shared" si="14"/>
        <v>0</v>
      </c>
      <c r="L158">
        <f>K158*Calculations!Y158</f>
        <v>0</v>
      </c>
    </row>
    <row r="159" spans="1:12">
      <c r="A159" s="268">
        <v>496</v>
      </c>
      <c r="B159" s="264" t="s">
        <v>811</v>
      </c>
      <c r="C159" s="265">
        <v>6.35</v>
      </c>
      <c r="D159" s="267">
        <v>37897.07</v>
      </c>
      <c r="E159" s="259">
        <f t="shared" si="10"/>
        <v>240646.39</v>
      </c>
      <c r="F159" s="248"/>
      <c r="G159" s="258">
        <f t="shared" si="11"/>
        <v>-5537.4499999999971</v>
      </c>
      <c r="H159" s="260">
        <f t="shared" si="12"/>
        <v>-0.1274896096468891</v>
      </c>
      <c r="I159" s="261"/>
      <c r="J159" s="262">
        <f t="shared" si="13"/>
        <v>0</v>
      </c>
      <c r="K159" s="262">
        <f t="shared" si="14"/>
        <v>0</v>
      </c>
      <c r="L159">
        <f>K159*Calculations!Y159</f>
        <v>0</v>
      </c>
    </row>
    <row r="160" spans="1:12">
      <c r="A160" s="268">
        <v>497</v>
      </c>
      <c r="B160" s="264" t="s">
        <v>812</v>
      </c>
      <c r="C160" s="265">
        <v>5</v>
      </c>
      <c r="D160" s="267">
        <v>40105</v>
      </c>
      <c r="E160" s="259">
        <f t="shared" si="10"/>
        <v>200525</v>
      </c>
      <c r="F160" s="248"/>
      <c r="G160" s="258">
        <f t="shared" si="11"/>
        <v>-3329.5199999999968</v>
      </c>
      <c r="H160" s="260">
        <f t="shared" si="12"/>
        <v>-7.6656079081799389E-2</v>
      </c>
      <c r="I160" s="261"/>
      <c r="J160" s="262">
        <f t="shared" si="13"/>
        <v>0</v>
      </c>
      <c r="K160" s="262">
        <f t="shared" si="14"/>
        <v>0</v>
      </c>
      <c r="L160">
        <f>K160*Calculations!Y160</f>
        <v>0</v>
      </c>
    </row>
    <row r="161" spans="1:12">
      <c r="A161" s="268">
        <v>498</v>
      </c>
      <c r="B161" s="264" t="s">
        <v>813</v>
      </c>
      <c r="C161" s="265">
        <v>1</v>
      </c>
      <c r="D161" s="267">
        <v>43434.52</v>
      </c>
      <c r="E161" s="259">
        <f t="shared" si="10"/>
        <v>43434.52</v>
      </c>
      <c r="F161" s="248"/>
      <c r="G161" s="258">
        <f t="shared" si="11"/>
        <v>0</v>
      </c>
      <c r="H161" s="260">
        <f t="shared" si="12"/>
        <v>0</v>
      </c>
      <c r="I161" s="261"/>
      <c r="J161" s="262">
        <f t="shared" si="13"/>
        <v>0</v>
      </c>
      <c r="K161" s="262">
        <f t="shared" si="14"/>
        <v>0</v>
      </c>
      <c r="L161">
        <f>K161*Calculations!Y161</f>
        <v>0</v>
      </c>
    </row>
    <row r="162" spans="1:12">
      <c r="A162" s="268">
        <v>499</v>
      </c>
      <c r="B162" s="264" t="s">
        <v>814</v>
      </c>
      <c r="C162" s="265">
        <v>1</v>
      </c>
      <c r="D162" s="267">
        <v>43434.52</v>
      </c>
      <c r="E162" s="259">
        <f t="shared" si="10"/>
        <v>43434.52</v>
      </c>
      <c r="F162" s="248"/>
      <c r="G162" s="258">
        <f t="shared" si="11"/>
        <v>0</v>
      </c>
      <c r="H162" s="260">
        <f t="shared" si="12"/>
        <v>0</v>
      </c>
      <c r="I162" s="261"/>
      <c r="J162" s="262">
        <f t="shared" si="13"/>
        <v>0</v>
      </c>
      <c r="K162" s="262">
        <f t="shared" si="14"/>
        <v>0</v>
      </c>
      <c r="L162">
        <f>K162*Calculations!Y162</f>
        <v>0</v>
      </c>
    </row>
    <row r="163" spans="1:12">
      <c r="A163" s="268">
        <v>511</v>
      </c>
      <c r="B163" s="264" t="s">
        <v>815</v>
      </c>
      <c r="C163" s="265">
        <v>1</v>
      </c>
      <c r="D163" s="267">
        <v>43434.52</v>
      </c>
      <c r="E163" s="259">
        <f t="shared" si="10"/>
        <v>43434.52</v>
      </c>
      <c r="F163" s="248"/>
      <c r="G163" s="258">
        <f t="shared" si="11"/>
        <v>0</v>
      </c>
      <c r="H163" s="260">
        <f t="shared" si="12"/>
        <v>0</v>
      </c>
      <c r="I163" s="261"/>
      <c r="J163" s="262">
        <f t="shared" si="13"/>
        <v>0</v>
      </c>
      <c r="K163" s="262">
        <f t="shared" si="14"/>
        <v>0</v>
      </c>
      <c r="L163">
        <f>K163*Calculations!Y163</f>
        <v>0</v>
      </c>
    </row>
    <row r="164" spans="1:12">
      <c r="A164" s="268">
        <v>513</v>
      </c>
      <c r="B164" s="264" t="s">
        <v>816</v>
      </c>
      <c r="C164" s="265">
        <v>1</v>
      </c>
      <c r="D164" s="267">
        <v>43434.52</v>
      </c>
      <c r="E164" s="259">
        <f t="shared" si="10"/>
        <v>43434.52</v>
      </c>
      <c r="F164" s="248"/>
      <c r="G164" s="258">
        <f t="shared" si="11"/>
        <v>0</v>
      </c>
      <c r="H164" s="260">
        <f t="shared" si="12"/>
        <v>0</v>
      </c>
      <c r="I164" s="261"/>
      <c r="J164" s="262">
        <f t="shared" si="13"/>
        <v>0</v>
      </c>
      <c r="K164" s="262">
        <f t="shared" si="14"/>
        <v>0</v>
      </c>
      <c r="L164">
        <f>K164*Calculations!Y164</f>
        <v>0</v>
      </c>
    </row>
    <row r="165" spans="1:12">
      <c r="A165" s="268">
        <v>518</v>
      </c>
      <c r="B165" s="264" t="s">
        <v>817</v>
      </c>
      <c r="C165" s="265">
        <v>1</v>
      </c>
      <c r="D165" s="267">
        <v>43434.52</v>
      </c>
      <c r="E165" s="259">
        <f t="shared" si="10"/>
        <v>43434.52</v>
      </c>
      <c r="F165" s="248"/>
      <c r="G165" s="258">
        <f t="shared" si="11"/>
        <v>0</v>
      </c>
      <c r="H165" s="260">
        <f t="shared" si="12"/>
        <v>0</v>
      </c>
      <c r="I165" s="261"/>
      <c r="J165" s="262">
        <f t="shared" si="13"/>
        <v>0</v>
      </c>
      <c r="K165" s="262">
        <f t="shared" si="14"/>
        <v>0</v>
      </c>
      <c r="L165">
        <f>K165*Calculations!Y165</f>
        <v>0</v>
      </c>
    </row>
    <row r="166" spans="1:12">
      <c r="A166" s="255">
        <v>555</v>
      </c>
      <c r="B166" s="264" t="s">
        <v>818</v>
      </c>
      <c r="C166" s="257">
        <v>10.45</v>
      </c>
      <c r="D166" s="258">
        <v>41734.980000000003</v>
      </c>
      <c r="E166" s="259">
        <f t="shared" si="10"/>
        <v>436130.54</v>
      </c>
      <c r="F166" s="248"/>
      <c r="G166" s="258">
        <f t="shared" si="11"/>
        <v>-1699.5399999999936</v>
      </c>
      <c r="H166" s="260">
        <f t="shared" si="12"/>
        <v>-3.9128785122984983E-2</v>
      </c>
      <c r="I166" s="261"/>
      <c r="J166" s="262">
        <f t="shared" si="13"/>
        <v>0</v>
      </c>
      <c r="K166" s="262">
        <f t="shared" si="14"/>
        <v>0</v>
      </c>
      <c r="L166">
        <f>K166*Calculations!Y166</f>
        <v>0</v>
      </c>
    </row>
    <row r="167" spans="1:12">
      <c r="A167" s="268">
        <v>559</v>
      </c>
      <c r="B167" s="264" t="s">
        <v>819</v>
      </c>
      <c r="C167" s="265">
        <v>20.292000000000002</v>
      </c>
      <c r="D167" s="267">
        <v>47673.99</v>
      </c>
      <c r="E167" s="259">
        <f t="shared" si="10"/>
        <v>967400.61</v>
      </c>
      <c r="F167" s="248"/>
      <c r="G167" s="258">
        <f t="shared" si="11"/>
        <v>4239.4700000000012</v>
      </c>
      <c r="H167" s="260">
        <f t="shared" si="12"/>
        <v>9.7606005545819344E-2</v>
      </c>
      <c r="I167" s="261"/>
      <c r="J167" s="262">
        <f t="shared" si="13"/>
        <v>5.4366545089021383E-2</v>
      </c>
      <c r="K167" s="262">
        <f t="shared" si="14"/>
        <v>0.05</v>
      </c>
      <c r="L167">
        <f>K167*Calculations!Y167</f>
        <v>29.512357479073117</v>
      </c>
    </row>
    <row r="168" spans="1:12">
      <c r="A168" s="268">
        <v>751</v>
      </c>
      <c r="B168" s="264" t="s">
        <v>820</v>
      </c>
      <c r="C168" s="265">
        <v>12.46</v>
      </c>
      <c r="D168" s="267">
        <v>42471.83</v>
      </c>
      <c r="E168" s="259">
        <f t="shared" si="10"/>
        <v>529199</v>
      </c>
      <c r="F168" s="248"/>
      <c r="G168" s="258">
        <f t="shared" si="11"/>
        <v>-962.68999999999505</v>
      </c>
      <c r="H168" s="260">
        <f t="shared" si="12"/>
        <v>-2.2164168039614462E-2</v>
      </c>
      <c r="I168" s="261"/>
      <c r="J168" s="262">
        <f t="shared" si="13"/>
        <v>0</v>
      </c>
      <c r="K168" s="262">
        <f t="shared" si="14"/>
        <v>0</v>
      </c>
      <c r="L168">
        <f>K168*Calculations!Y168</f>
        <v>0</v>
      </c>
    </row>
    <row r="169" spans="1:12">
      <c r="A169" s="268">
        <v>768</v>
      </c>
      <c r="B169" s="264" t="s">
        <v>821</v>
      </c>
      <c r="C169" s="265">
        <v>14</v>
      </c>
      <c r="D169" s="267">
        <v>46851.43</v>
      </c>
      <c r="E169" s="259">
        <f t="shared" si="10"/>
        <v>655920.02</v>
      </c>
      <c r="F169" s="248"/>
      <c r="G169" s="258">
        <f t="shared" si="11"/>
        <v>3416.9100000000035</v>
      </c>
      <c r="H169" s="260">
        <f t="shared" si="12"/>
        <v>7.866807322839077E-2</v>
      </c>
      <c r="I169" s="261"/>
      <c r="J169" s="262">
        <f t="shared" si="13"/>
        <v>4.3818116788213665E-2</v>
      </c>
      <c r="K169" s="262">
        <f t="shared" si="14"/>
        <v>4.3818116788213665E-2</v>
      </c>
      <c r="L169">
        <f>K169*Calculations!Y169</f>
        <v>16.148518736361588</v>
      </c>
    </row>
    <row r="170" spans="1:12">
      <c r="A170" s="268">
        <v>785</v>
      </c>
      <c r="B170" s="264" t="s">
        <v>822</v>
      </c>
      <c r="C170" s="265">
        <v>14</v>
      </c>
      <c r="D170" s="267">
        <v>46152.86</v>
      </c>
      <c r="E170" s="259">
        <f t="shared" si="10"/>
        <v>646140.04</v>
      </c>
      <c r="F170" s="248"/>
      <c r="G170" s="258">
        <f t="shared" si="11"/>
        <v>2718.3400000000038</v>
      </c>
      <c r="H170" s="260">
        <f t="shared" si="12"/>
        <v>6.2584782794883054E-2</v>
      </c>
      <c r="I170" s="261"/>
      <c r="J170" s="262">
        <f t="shared" si="13"/>
        <v>3.4859724016749867E-2</v>
      </c>
      <c r="K170" s="262">
        <f t="shared" si="14"/>
        <v>3.4859724016749867E-2</v>
      </c>
      <c r="L170">
        <f>K170*Calculations!Y170</f>
        <v>12.59444355753134</v>
      </c>
    </row>
    <row r="171" spans="1:12">
      <c r="A171" s="255">
        <v>790</v>
      </c>
      <c r="B171" s="264" t="s">
        <v>823</v>
      </c>
      <c r="C171" s="265">
        <v>17.3</v>
      </c>
      <c r="D171" s="267">
        <v>42471.83</v>
      </c>
      <c r="E171" s="259">
        <f t="shared" si="10"/>
        <v>734762.66</v>
      </c>
      <c r="F171" s="248"/>
      <c r="G171" s="258">
        <f t="shared" si="11"/>
        <v>-962.68999999999505</v>
      </c>
      <c r="H171" s="260">
        <f t="shared" si="12"/>
        <v>-2.2164168039614462E-2</v>
      </c>
      <c r="I171" s="261"/>
      <c r="J171" s="262">
        <f t="shared" si="13"/>
        <v>0</v>
      </c>
      <c r="K171" s="262">
        <f t="shared" si="14"/>
        <v>0</v>
      </c>
      <c r="L171">
        <f>K171*Calculations!Y171</f>
        <v>0</v>
      </c>
    </row>
    <row r="172" spans="1:12">
      <c r="A172" s="268">
        <v>794</v>
      </c>
      <c r="B172" s="264" t="s">
        <v>824</v>
      </c>
      <c r="C172" s="265">
        <v>9.8000000000000007</v>
      </c>
      <c r="D172" s="267">
        <v>46115.8</v>
      </c>
      <c r="E172" s="259">
        <f t="shared" si="10"/>
        <v>451934.84</v>
      </c>
      <c r="F172" s="248"/>
      <c r="G172" s="258">
        <f t="shared" si="11"/>
        <v>2681.2800000000061</v>
      </c>
      <c r="H172" s="260">
        <f t="shared" si="12"/>
        <v>6.1731544402931271E-2</v>
      </c>
      <c r="I172" s="261"/>
      <c r="J172" s="262">
        <f t="shared" si="13"/>
        <v>3.4384470232432719E-2</v>
      </c>
      <c r="K172" s="262">
        <f t="shared" si="14"/>
        <v>3.4384470232432719E-2</v>
      </c>
      <c r="L172">
        <f>K172*Calculations!Y172</f>
        <v>12.514264745214064</v>
      </c>
    </row>
    <row r="173" spans="1:12">
      <c r="A173" s="268">
        <v>795</v>
      </c>
      <c r="B173" s="264" t="s">
        <v>825</v>
      </c>
      <c r="C173" s="265">
        <v>52</v>
      </c>
      <c r="D173" s="267">
        <v>42958.879999999997</v>
      </c>
      <c r="E173" s="259">
        <f t="shared" si="10"/>
        <v>2233861.7599999998</v>
      </c>
      <c r="F173" s="248"/>
      <c r="G173" s="258">
        <f t="shared" si="11"/>
        <v>-475.63999999999942</v>
      </c>
      <c r="H173" s="260">
        <f t="shared" si="12"/>
        <v>-1.0950736879330068E-2</v>
      </c>
      <c r="I173" s="261"/>
      <c r="J173" s="262">
        <f t="shared" si="13"/>
        <v>0</v>
      </c>
      <c r="K173" s="262">
        <f t="shared" si="14"/>
        <v>0</v>
      </c>
      <c r="L173">
        <f>K173*Calculations!Y173</f>
        <v>0</v>
      </c>
    </row>
    <row r="174" spans="1:12">
      <c r="A174" s="268">
        <v>796</v>
      </c>
      <c r="B174" s="264" t="s">
        <v>826</v>
      </c>
      <c r="C174" s="265">
        <v>12</v>
      </c>
      <c r="D174" s="267">
        <v>39844</v>
      </c>
      <c r="E174" s="259">
        <f t="shared" si="10"/>
        <v>478128</v>
      </c>
      <c r="F174" s="248"/>
      <c r="G174" s="258">
        <f t="shared" si="11"/>
        <v>-3590.5199999999968</v>
      </c>
      <c r="H174" s="260">
        <f t="shared" si="12"/>
        <v>-8.266512442177322E-2</v>
      </c>
      <c r="I174" s="261"/>
      <c r="J174" s="262">
        <f t="shared" si="13"/>
        <v>0</v>
      </c>
      <c r="K174" s="262">
        <f t="shared" si="14"/>
        <v>0</v>
      </c>
      <c r="L174">
        <f>K174*Calculations!Y174</f>
        <v>0</v>
      </c>
    </row>
    <row r="175" spans="1:12">
      <c r="A175" s="268">
        <v>813</v>
      </c>
      <c r="B175" s="264" t="s">
        <v>827</v>
      </c>
      <c r="C175" s="265">
        <v>10.48</v>
      </c>
      <c r="D175" s="267">
        <v>43922.92</v>
      </c>
      <c r="E175" s="259">
        <f t="shared" si="10"/>
        <v>460312.2</v>
      </c>
      <c r="F175" s="248"/>
      <c r="G175" s="258">
        <f t="shared" si="11"/>
        <v>488.40000000000146</v>
      </c>
      <c r="H175" s="260">
        <f t="shared" si="12"/>
        <v>1.1244512429284391E-2</v>
      </c>
      <c r="I175" s="261"/>
      <c r="J175" s="262">
        <f t="shared" si="13"/>
        <v>6.2631934231114064E-3</v>
      </c>
      <c r="K175" s="262">
        <f t="shared" si="14"/>
        <v>6.2631934231114064E-3</v>
      </c>
      <c r="L175">
        <f>K175*Calculations!Y175</f>
        <v>1.7611522237651345</v>
      </c>
    </row>
    <row r="177" spans="1:5">
      <c r="C177" s="259">
        <f>SUM(C3:C175)</f>
        <v>15724.268186970003</v>
      </c>
      <c r="E177" s="259">
        <f t="shared" ref="E177" si="15">SUM(E3:E175)</f>
        <v>682976006.90999985</v>
      </c>
    </row>
    <row r="178" spans="1:5">
      <c r="B178" s="271" t="s">
        <v>828</v>
      </c>
      <c r="C178" s="272"/>
      <c r="D178" s="273">
        <f>ROUND(E177/C177,2)</f>
        <v>43434.52</v>
      </c>
      <c r="E178" s="274"/>
    </row>
    <row r="181" spans="1:5">
      <c r="A181" s="244" t="s">
        <v>829</v>
      </c>
      <c r="B181" s="244" t="s">
        <v>830</v>
      </c>
    </row>
    <row r="182" spans="1:5">
      <c r="B182" s="244" t="s">
        <v>831</v>
      </c>
    </row>
    <row r="184" spans="1:5">
      <c r="B184" s="244" t="s">
        <v>832</v>
      </c>
    </row>
  </sheetData>
  <mergeCells count="1">
    <mergeCell ref="G1:H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 page</vt:lpstr>
      <vt:lpstr>Funding Comparison</vt:lpstr>
      <vt:lpstr>Budget Estimating Tool</vt:lpstr>
      <vt:lpstr>Student Enrollment Data</vt:lpstr>
      <vt:lpstr>Small Dist Weight</vt:lpstr>
      <vt:lpstr>Remote School Building Weight</vt:lpstr>
      <vt:lpstr>Large District Weight</vt:lpstr>
      <vt:lpstr>District Wealth Adjustment</vt:lpstr>
      <vt:lpstr>Teacher Exp</vt:lpstr>
      <vt:lpstr>Calculations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Silverstein</dc:creator>
  <cp:lastModifiedBy>Paul Headlee</cp:lastModifiedBy>
  <dcterms:created xsi:type="dcterms:W3CDTF">2018-07-31T19:57:14Z</dcterms:created>
  <dcterms:modified xsi:type="dcterms:W3CDTF">2019-02-01T23:44:32Z</dcterms:modified>
</cp:coreProperties>
</file>